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gério\ANM\BA\PROCESSO ATUALIZADO\"/>
    </mc:Choice>
  </mc:AlternateContent>
  <xr:revisionPtr revIDLastSave="0" documentId="13_ncr:1_{488B0145-B3D7-48AC-B05B-E3D54E84E0D3}" xr6:coauthVersionLast="44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RESUMO" sheetId="6" r:id="rId1"/>
    <sheet name="PLANILHA ORÇAMENTÁRIA" sheetId="1" r:id="rId2"/>
    <sheet name="CRONOGRAMA" sheetId="2" r:id="rId3"/>
    <sheet name="TAD" sheetId="3" r:id="rId4"/>
    <sheet name="BDI NORMAL" sheetId="4" r:id="rId5"/>
    <sheet name="COMPOSIÇÃO PRÓPRIA " sheetId="5" r:id="rId6"/>
    <sheet name="CURVA ABC" sheetId="10" r:id="rId7"/>
  </sheets>
  <externalReferences>
    <externalReference r:id="rId8"/>
  </externalReferences>
  <definedNames>
    <definedName name="BDI">[1]BDI!$F$9</definedName>
    <definedName name="BDIR">[1]BDI!$F$23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" i="10" l="1"/>
  <c r="Q8" i="10"/>
  <c r="Q7" i="10"/>
  <c r="P9" i="10"/>
  <c r="P8" i="10"/>
  <c r="P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7" i="10"/>
  <c r="J9" i="10"/>
  <c r="J10" i="10"/>
  <c r="J11" i="10"/>
  <c r="J12" i="10"/>
  <c r="J13" i="10"/>
  <c r="J14" i="10"/>
  <c r="J15" i="10"/>
  <c r="J16" i="10" s="1"/>
  <c r="J17" i="10" s="1"/>
  <c r="J18" i="10" s="1"/>
  <c r="J19" i="10" s="1"/>
  <c r="J20" i="10" s="1"/>
  <c r="J21" i="10" s="1"/>
  <c r="J22" i="10" s="1"/>
  <c r="J23" i="10" s="1"/>
  <c r="J24" i="10" s="1"/>
  <c r="J25" i="10" s="1"/>
  <c r="J26" i="10" s="1"/>
  <c r="J27" i="10" s="1"/>
  <c r="J28" i="10" s="1"/>
  <c r="J29" i="10" s="1"/>
  <c r="J30" i="10" s="1"/>
  <c r="J31" i="10" s="1"/>
  <c r="J32" i="10" s="1"/>
  <c r="J8" i="10"/>
  <c r="J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7" i="10"/>
  <c r="H33" i="10"/>
  <c r="C27" i="10" l="1"/>
  <c r="C26" i="10"/>
  <c r="E26" i="10" s="1"/>
  <c r="C25" i="10"/>
  <c r="C24" i="10"/>
  <c r="C23" i="10"/>
  <c r="E23" i="10" s="1"/>
  <c r="C22" i="10"/>
  <c r="E22" i="10" s="1"/>
  <c r="C21" i="10"/>
  <c r="C20" i="10"/>
  <c r="C18" i="10"/>
  <c r="C17" i="10"/>
  <c r="C19" i="10"/>
  <c r="C15" i="10"/>
  <c r="C14" i="10"/>
  <c r="C13" i="10"/>
  <c r="C12" i="10"/>
  <c r="C11" i="10"/>
  <c r="C10" i="10"/>
  <c r="C16" i="10"/>
  <c r="C9" i="10"/>
  <c r="E9" i="10" s="1"/>
  <c r="C8" i="10"/>
  <c r="C7" i="10"/>
  <c r="H7" i="10" s="1"/>
  <c r="H31" i="10"/>
  <c r="G20" i="10"/>
  <c r="G29" i="10"/>
  <c r="H29" i="10" s="1"/>
  <c r="E29" i="10"/>
  <c r="G30" i="10"/>
  <c r="H30" i="10" s="1"/>
  <c r="E30" i="10"/>
  <c r="G15" i="10"/>
  <c r="E15" i="10"/>
  <c r="G18" i="10"/>
  <c r="G14" i="10"/>
  <c r="G17" i="10"/>
  <c r="G32" i="10"/>
  <c r="G24" i="10"/>
  <c r="G19" i="10"/>
  <c r="G31" i="10"/>
  <c r="C31" i="10"/>
  <c r="G26" i="10"/>
  <c r="G8" i="10"/>
  <c r="G16" i="10"/>
  <c r="G13" i="10"/>
  <c r="G9" i="10"/>
  <c r="G22" i="10"/>
  <c r="G10" i="10"/>
  <c r="G23" i="10"/>
  <c r="H23" i="10" s="1"/>
  <c r="G21" i="10"/>
  <c r="E21" i="10"/>
  <c r="G7" i="10"/>
  <c r="G11" i="10"/>
  <c r="D28" i="10"/>
  <c r="G28" i="10" s="1"/>
  <c r="G12" i="10"/>
  <c r="E12" i="10"/>
  <c r="D27" i="10"/>
  <c r="G27" i="10" s="1"/>
  <c r="G25" i="10"/>
  <c r="H18" i="10" l="1"/>
  <c r="H27" i="10"/>
  <c r="H11" i="10"/>
  <c r="H26" i="10"/>
  <c r="H13" i="10"/>
  <c r="H22" i="10"/>
  <c r="H21" i="10"/>
  <c r="E18" i="10"/>
  <c r="H19" i="10"/>
  <c r="H15" i="10"/>
  <c r="H12" i="10"/>
  <c r="H9" i="10"/>
  <c r="E7" i="10"/>
  <c r="E20" i="10"/>
  <c r="H25" i="10"/>
  <c r="E11" i="10"/>
  <c r="E10" i="10"/>
  <c r="E27" i="10"/>
  <c r="E13" i="10"/>
  <c r="E16" i="10"/>
  <c r="E19" i="10"/>
  <c r="H24" i="10"/>
  <c r="C28" i="10"/>
  <c r="H28" i="10" s="1"/>
  <c r="E25" i="10"/>
  <c r="E31" i="10"/>
  <c r="H16" i="10" l="1"/>
  <c r="H10" i="10"/>
  <c r="E8" i="10"/>
  <c r="H8" i="10"/>
  <c r="H20" i="10"/>
  <c r="E28" i="10"/>
  <c r="H17" i="10"/>
  <c r="E24" i="10"/>
  <c r="H14" i="10"/>
  <c r="C32" i="10"/>
  <c r="H32" i="10" s="1"/>
  <c r="E14" i="10" l="1"/>
  <c r="E17" i="10"/>
  <c r="E32" i="10"/>
  <c r="F15" i="3" l="1"/>
  <c r="L16" i="3" l="1"/>
  <c r="K16" i="3"/>
  <c r="F16" i="3"/>
  <c r="I16" i="3" s="1"/>
  <c r="J33" i="5"/>
  <c r="J32" i="5"/>
  <c r="J31" i="5"/>
  <c r="J30" i="5"/>
  <c r="J29" i="5"/>
  <c r="J28" i="5"/>
  <c r="J22" i="5"/>
  <c r="J21" i="5"/>
  <c r="J20" i="5"/>
  <c r="J19" i="5"/>
  <c r="J18" i="5"/>
  <c r="J17" i="5"/>
  <c r="D21" i="4"/>
  <c r="K15" i="3"/>
  <c r="L15" i="3" s="1"/>
  <c r="I15" i="3"/>
  <c r="K14" i="3"/>
  <c r="L14" i="3" s="1"/>
  <c r="I14" i="3"/>
  <c r="N15" i="2"/>
  <c r="N12" i="2"/>
  <c r="N9" i="2"/>
  <c r="K45" i="1"/>
  <c r="K44" i="1"/>
  <c r="L44" i="1" s="1"/>
  <c r="I44" i="1"/>
  <c r="K43" i="1"/>
  <c r="L43" i="1" s="1"/>
  <c r="I43" i="1"/>
  <c r="K42" i="1"/>
  <c r="L42" i="1" s="1"/>
  <c r="F42" i="1"/>
  <c r="I42" i="1" s="1"/>
  <c r="K41" i="1"/>
  <c r="F41" i="1"/>
  <c r="I41" i="1" s="1"/>
  <c r="K38" i="1"/>
  <c r="K37" i="1"/>
  <c r="K36" i="1"/>
  <c r="K35" i="1"/>
  <c r="K34" i="1"/>
  <c r="K33" i="1"/>
  <c r="L33" i="1" s="1"/>
  <c r="F33" i="1"/>
  <c r="F34" i="1" s="1"/>
  <c r="K32" i="1"/>
  <c r="L32" i="1" s="1"/>
  <c r="F32" i="1"/>
  <c r="I32" i="1" s="1"/>
  <c r="K30" i="1"/>
  <c r="K29" i="1"/>
  <c r="K28" i="1"/>
  <c r="K27" i="1"/>
  <c r="F27" i="1"/>
  <c r="I27" i="1" s="1"/>
  <c r="K26" i="1"/>
  <c r="F26" i="1"/>
  <c r="I26" i="1" s="1"/>
  <c r="K22" i="1"/>
  <c r="K21" i="1"/>
  <c r="F21" i="1"/>
  <c r="I21" i="1" s="1"/>
  <c r="K20" i="1"/>
  <c r="F20" i="1"/>
  <c r="I20" i="1" s="1"/>
  <c r="K19" i="1"/>
  <c r="K18" i="1"/>
  <c r="F18" i="1"/>
  <c r="I18" i="1" s="1"/>
  <c r="K16" i="1"/>
  <c r="F16" i="1"/>
  <c r="I16" i="1" s="1"/>
  <c r="F15" i="1"/>
  <c r="K14" i="1"/>
  <c r="F14" i="1"/>
  <c r="F28" i="1" s="1"/>
  <c r="I17" i="3" l="1"/>
  <c r="L18" i="3" s="1"/>
  <c r="L17" i="3"/>
  <c r="D9" i="6" s="1"/>
  <c r="L27" i="1"/>
  <c r="L14" i="1"/>
  <c r="L20" i="1"/>
  <c r="J23" i="5"/>
  <c r="H15" i="1" s="1"/>
  <c r="K15" i="1" s="1"/>
  <c r="L15" i="1" s="1"/>
  <c r="L21" i="1"/>
  <c r="L18" i="1"/>
  <c r="L26" i="1"/>
  <c r="L16" i="1"/>
  <c r="L41" i="1"/>
  <c r="F17" i="1"/>
  <c r="L28" i="1"/>
  <c r="J34" i="5"/>
  <c r="H17" i="1" s="1"/>
  <c r="K17" i="1" s="1"/>
  <c r="L17" i="1" s="1"/>
  <c r="I34" i="1"/>
  <c r="F35" i="1"/>
  <c r="L35" i="1" s="1"/>
  <c r="L34" i="1"/>
  <c r="I28" i="1"/>
  <c r="F30" i="1"/>
  <c r="I30" i="1" s="1"/>
  <c r="F29" i="1"/>
  <c r="I29" i="1" s="1"/>
  <c r="F22" i="1"/>
  <c r="I22" i="1" s="1"/>
  <c r="F19" i="1"/>
  <c r="F45" i="1"/>
  <c r="I14" i="1"/>
  <c r="I33" i="1"/>
  <c r="L20" i="3" l="1"/>
  <c r="I15" i="1"/>
  <c r="L29" i="1"/>
  <c r="I17" i="1"/>
  <c r="I45" i="1"/>
  <c r="I46" i="1" s="1"/>
  <c r="L45" i="1"/>
  <c r="L30" i="1"/>
  <c r="F36" i="1"/>
  <c r="F38" i="1"/>
  <c r="F37" i="1"/>
  <c r="I35" i="1"/>
  <c r="I19" i="1"/>
  <c r="L19" i="1"/>
  <c r="L22" i="1"/>
  <c r="L19" i="3" l="1"/>
  <c r="I23" i="1"/>
  <c r="L46" i="1"/>
  <c r="I36" i="1"/>
  <c r="L36" i="1"/>
  <c r="L23" i="1"/>
  <c r="I37" i="1"/>
  <c r="L37" i="1"/>
  <c r="I38" i="1"/>
  <c r="L38" i="1"/>
  <c r="I39" i="1" l="1"/>
  <c r="M47" i="1" s="1"/>
  <c r="N17" i="2"/>
  <c r="L39" i="1"/>
  <c r="N11" i="2"/>
  <c r="N14" i="2" l="1"/>
  <c r="N18" i="2" s="1"/>
  <c r="M48" i="1"/>
  <c r="M49" i="1" s="1"/>
  <c r="D8" i="6" s="1"/>
  <c r="D10" i="6" s="1"/>
  <c r="F11" i="2"/>
  <c r="L11" i="2"/>
  <c r="I11" i="2"/>
  <c r="H11" i="2"/>
  <c r="G11" i="2"/>
  <c r="K11" i="2"/>
  <c r="M11" i="2"/>
  <c r="J11" i="2"/>
  <c r="J17" i="2"/>
  <c r="H17" i="2"/>
  <c r="M17" i="2"/>
  <c r="L17" i="2"/>
  <c r="K17" i="2"/>
  <c r="I17" i="2"/>
  <c r="G17" i="2"/>
  <c r="F17" i="2"/>
  <c r="L21" i="3" l="1"/>
  <c r="M16" i="1"/>
  <c r="M32" i="1"/>
  <c r="M21" i="1"/>
  <c r="M41" i="1"/>
  <c r="M43" i="1"/>
  <c r="M27" i="1"/>
  <c r="M42" i="1"/>
  <c r="M18" i="1"/>
  <c r="M33" i="1"/>
  <c r="M20" i="1"/>
  <c r="M28" i="1"/>
  <c r="M14" i="1"/>
  <c r="M26" i="1"/>
  <c r="M44" i="1"/>
  <c r="M29" i="1"/>
  <c r="M15" i="1"/>
  <c r="M34" i="1"/>
  <c r="M17" i="1"/>
  <c r="M35" i="1"/>
  <c r="M30" i="1"/>
  <c r="M22" i="1"/>
  <c r="M45" i="1"/>
  <c r="M19" i="1"/>
  <c r="M36" i="1"/>
  <c r="M23" i="1"/>
  <c r="M46" i="1"/>
  <c r="M37" i="1"/>
  <c r="M38" i="1"/>
  <c r="M39" i="1"/>
  <c r="L14" i="2"/>
  <c r="J14" i="2"/>
  <c r="G14" i="2"/>
  <c r="I14" i="2"/>
  <c r="H14" i="2"/>
  <c r="F14" i="2"/>
  <c r="M14" i="2"/>
  <c r="K14" i="2"/>
  <c r="L22" i="3" l="1"/>
  <c r="E19" i="2" s="1"/>
  <c r="F18" i="2"/>
  <c r="J18" i="2"/>
  <c r="F19" i="2" l="1"/>
  <c r="F20" i="2" s="1"/>
  <c r="J19" i="2"/>
  <c r="J20" i="2" l="1"/>
</calcChain>
</file>

<file path=xl/sharedStrings.xml><?xml version="1.0" encoding="utf-8"?>
<sst xmlns="http://schemas.openxmlformats.org/spreadsheetml/2006/main" count="453" uniqueCount="245">
  <si>
    <t>AGÊNCIA NACIONAL DE MINERAÇÃO - ANM</t>
  </si>
  <si>
    <t>ORÇAMENTO IMPEMEABILIZAÇÃO</t>
  </si>
  <si>
    <t>ITEM</t>
  </si>
  <si>
    <t>BASE</t>
  </si>
  <si>
    <t>CÓDIGO</t>
  </si>
  <si>
    <t>DISCRIMINAÇÃO ORÇAMENTÁRIA</t>
  </si>
  <si>
    <t>UNIDADE</t>
  </si>
  <si>
    <t>QUANT.</t>
  </si>
  <si>
    <t>MEMÓRIA DE CÁLCULO</t>
  </si>
  <si>
    <t>VALOR UNITÁRIO SEM BDI</t>
  </si>
  <si>
    <t>VALOR TOTAL SEM BDI</t>
  </si>
  <si>
    <t>BDI</t>
  </si>
  <si>
    <t>VALOR UNIT. COM BDI</t>
  </si>
  <si>
    <t>VALOR TOTAL COM BDI</t>
  </si>
  <si>
    <t>% DO VALOR TOTAL</t>
  </si>
  <si>
    <t>SERVIÇOS INCIAIS E ESCAVAÇÃO</t>
  </si>
  <si>
    <t>1.1</t>
  </si>
  <si>
    <t>SINAPI</t>
  </si>
  <si>
    <t>98524</t>
  </si>
  <si>
    <t>LIMPEZA MANUAL DE VEGETAÇÃO EM TERRENO COM ENXADA</t>
  </si>
  <si>
    <t>M2</t>
  </si>
  <si>
    <t>SOMA DAS ÁREAS CALCULADAS NO CAD (204,6+397,4)</t>
  </si>
  <si>
    <t>1.2</t>
  </si>
  <si>
    <t>COMP</t>
  </si>
  <si>
    <t>001</t>
  </si>
  <si>
    <t>PLACA DE OBRA</t>
  </si>
  <si>
    <t>1,8*1,1</t>
  </si>
  <si>
    <t>1.3</t>
  </si>
  <si>
    <t>93584</t>
  </si>
  <si>
    <t>EXECUÇÃO DE DEPÓSITO EM CANTEIRO DE OBRA EM CHAPA DE MADEIRA COMPENSADA, NÃO INCLUSO MOBILIÁRIO.</t>
  </si>
  <si>
    <t>DEPOSITO DIMENSIONADO EM 2,5*3</t>
  </si>
  <si>
    <t>1.4</t>
  </si>
  <si>
    <t>00010775</t>
  </si>
  <si>
    <t>LOCACAO DE CONTAINER 2,30 X 6,00 M, ALT. 2,50 M, COM 1 SANITARIO, PARA ESCRITORIO, MES 870,00 COMPLETO, SEM DIVISORIAS INTERNAS</t>
  </si>
  <si>
    <t>MES</t>
  </si>
  <si>
    <t>1.5</t>
  </si>
  <si>
    <t>002</t>
  </si>
  <si>
    <t>EQUIPE DE TOPOGRAFIA COMPOSTA DE 1 TOPOGRAFO. AUXILIAR DE TOPOGRAFIA, TEODOLITO E DEMAIS ACESSÓRIOS, INCLUINDO DESENHO</t>
  </si>
  <si>
    <t>H</t>
  </si>
  <si>
    <t>SOMA DAS ÁREAS CALCULADAS NO CAD X METADE DA HORA DE TRABALHO (204,6+397,4)*0,5</t>
  </si>
  <si>
    <t>1.6</t>
  </si>
  <si>
    <t>101114</t>
  </si>
  <si>
    <t>ESCAVAÇÃO HORIZONTAL EM SOLO DE 1A CATEGORIA COM TRATOR DE ESTEIRAS ( 100HP/LÂMINA: 2,19M3).</t>
  </si>
  <si>
    <t>M3</t>
  </si>
  <si>
    <t>SOMA DAS ÁREAS CALCULADAS NO CAD X ALTURA DE ESCAVAÇÃO ((204,6-41,13)*2,75)+((397,4-28,42)*3,15)</t>
  </si>
  <si>
    <t>1.7</t>
  </si>
  <si>
    <t>101135</t>
  </si>
  <si>
    <t>ESCAVAÇÃO HORIZONTAL, INCLUINDO CARGA, DESCARGA E TRANSPORTE EM SOLO DE 1A CATEGORIA COM TRATOR DE ESTEIRAS (150HP/LÂMINA: 3,18M3) E CAMINHÃ O BASCULANTE DE 10M3, DMT ATÉ 200M</t>
  </si>
  <si>
    <t>SOMA DAS ÁREAS CALCULADAS NO CAD X ALTURA DE ESCAVAÇÃO  SOMADO A UMA TAXA DE EMPOLAÇÃO DO SOLO ((204,6-41,13)*2,75)+((397,4-28,42)*3,15) *1,1</t>
  </si>
  <si>
    <t>1.8</t>
  </si>
  <si>
    <t>93382</t>
  </si>
  <si>
    <t>REATERRO MANUAL DE VALAS COM COMPACTAÇÃO MECANIZADA</t>
  </si>
  <si>
    <t>MULTIPLICAÇÃO DAS ÁREAS QUE NÃO SOFRERAM CORTE PELA ESPESSURA DE ATERRO (41,13+28,42)*0,8</t>
  </si>
  <si>
    <t>1.9</t>
  </si>
  <si>
    <t>97083</t>
  </si>
  <si>
    <t>COMPACTAÇÃO MECÂNICA DE SOLO PARA EXECUÇÃO DE RADIER, PISO DE CONCRETO OU LAJE SOBRE SOLO, COM COMPACTADOR DE SOLOS A PERCUSSÃO.</t>
  </si>
  <si>
    <t>97914</t>
  </si>
  <si>
    <t>TRANSPORTE COM CAMINHÃO BASCULANTE DE 6 M³, EM VIA URBANA PAVIMENTADA,  ATÉ 30 KM (UNIDADE: M3XKM).</t>
  </si>
  <si>
    <t>M3xKM</t>
  </si>
  <si>
    <t>PRODUTO  DA QUANTIDADE DE ATERRO ESCAVADO * DISTANCIA PERCORRIDA ESTIMADA (3KM) (1611,83*30)</t>
  </si>
  <si>
    <t>TOTAL PARCIAL</t>
  </si>
  <si>
    <t>EXECUÇÃO DAS CAMADAS IMPERMEABILIZADORAS</t>
  </si>
  <si>
    <t>2.1</t>
  </si>
  <si>
    <t>PISO</t>
  </si>
  <si>
    <t>2.1.1</t>
  </si>
  <si>
    <t>96622</t>
  </si>
  <si>
    <t>LASTRO COM MATERIAL GRANULAR, APLICADO EM PISOS OU LAJES SOBRE SOLO, ESPESSURA DE *5 CM*</t>
  </si>
  <si>
    <t>SOMA DAS ÁREAS CALCULADAS NO CAD X ALTURA DA CAMADA (204,6+397,4)*0,02</t>
  </si>
  <si>
    <t>2.1.2</t>
  </si>
  <si>
    <t>CONCRETO USINADO CONVENCIONAL (NAO BOMBEAVEL) CLASSE DE RESISTENCIA C15, COM BRITA 1 E 2, SLUMP = 80 MM +/- 10 MM (NBR 8953)</t>
  </si>
  <si>
    <t>SOMA DAS ÁREAS CALCULADAS NO CAD X ALTURA DA CAMADA (204,6+397,4)*0,06</t>
  </si>
  <si>
    <t>2.1.3</t>
  </si>
  <si>
    <t>TELA DE ACO SOLDADA NERVURADA, CA-60, Q-61, (0,97 KG/M2), DIAMETRO DO FIO = 3,4 MM, LARGURA = 2,45 M, ESPACAMENTO DA MALHA = 15 X 15 CM</t>
  </si>
  <si>
    <t>2.1.4</t>
  </si>
  <si>
    <t>98555</t>
  </si>
  <si>
    <t>IMPERMEABILIZAÇÃO DE SUPERFÍCIE COM ARGAMASSA POLIMÉRICA / MEMBRANA ACRÍLICA, 3 DEMÃOS.</t>
  </si>
  <si>
    <t>2.1.5</t>
  </si>
  <si>
    <t>98679</t>
  </si>
  <si>
    <t>PISO CIMENTADO, TRAÇO 1:3 (CIMENTO E AREIA), ACABAMENTO LISO, ESPESSURA 2,0 CM, PREPARO MECÂNICO DA ARGAMASSA.</t>
  </si>
  <si>
    <t>2.2</t>
  </si>
  <si>
    <t>PAREDE</t>
  </si>
  <si>
    <t>2.2.1</t>
  </si>
  <si>
    <t>97621</t>
  </si>
  <si>
    <t>DEMOLIÇÃO DE ALVENARIA DE BLOCO FURADO, DE FORMA MANUAL, COM REAPROVEITAMENTO.</t>
  </si>
  <si>
    <t>COMPRIMENTO DA ALVENARIA  X ALTURA X ESPESSURA DO REBOCO (52,15+52,17+12,83+12,83)*1,15*0,1</t>
  </si>
  <si>
    <t>2.2.2</t>
  </si>
  <si>
    <t>99814</t>
  </si>
  <si>
    <t>LIMPEZA DE SUPERFÍCIE COM JATO DE ALTA PRESSÃO.</t>
  </si>
  <si>
    <t>COMPRIMENTO DA ALVENARIA  X ALTURA DE LIMPEZA DEFINIDA (52,15+52,17+12,83+12,83)*1,15</t>
  </si>
  <si>
    <t>2.2.3</t>
  </si>
  <si>
    <t>2.2.4</t>
  </si>
  <si>
    <t>87902</t>
  </si>
  <si>
    <t>CHAPISCO APLICADO EM ALVENARIA (COM PRESENÇA DE VÃOS) E ESTRUTURAS DE CONCRETO DE FACHADA, COM ROLO PARA TEXTURA ACRÍLICA. ARGAMASSA INDUSTRIALIZADA COM PREPARO MANUAL.</t>
  </si>
  <si>
    <t>2.2.5</t>
  </si>
  <si>
    <t>MASSA CORRIDA PVA PARA PAREDES</t>
  </si>
  <si>
    <t>GL</t>
  </si>
  <si>
    <t>COMPRIMENTO DA ALVENARIA  X ALTURA DE LIMPEZA DEFINIDA DIVIDIDO POR 17 ((52,15+52,17+12,83+12,83)*1,15)/17</t>
  </si>
  <si>
    <t>2.2.6</t>
  </si>
  <si>
    <t>95624</t>
  </si>
  <si>
    <t>APLICAÇÃO MANUAL DE TINTA LÁTEX ACRÍLICA EM SUPERFÍCIES EXTERNAS DE SACADA DE EDIFÍCIOS DE MÚLTIPLOS PAVIMENTOS, DUAS DEMÃOS.</t>
  </si>
  <si>
    <t>87530</t>
  </si>
  <si>
    <t>MASSA ÚNICA, PARA RECEBIMENTO DE PINTURA, EM ARGAMASSA TRAÇO 1:2:8, PREPARO MANUAL, APLICADA MANUALMENTE EM FACES INTERNAS DE PAREDES, ESPESSURA DE 20MM, COM EXECUÇÃO DE TALISCAS.</t>
  </si>
  <si>
    <t>COMPRIMENTO DA ALVENARIA  X ALTURA DE LIMPEZA DEFINIDA (52,15+52,17+12,83+12,83)*1,15*0,1</t>
  </si>
  <si>
    <t>DRENAGEM</t>
  </si>
  <si>
    <t>3.1</t>
  </si>
  <si>
    <t>102990</t>
  </si>
  <si>
    <t>CANALETA MEIA CANA PRÉ-MOLDADA DE CONCRETO (D = 30 CM) - FORNECIMENTO  E INSTALAÇÃO</t>
  </si>
  <si>
    <t>M</t>
  </si>
  <si>
    <t>SOMATÓRIO DAS TUBOS (13,65+52,15)</t>
  </si>
  <si>
    <t>3.2</t>
  </si>
  <si>
    <t>98556</t>
  </si>
  <si>
    <t>IMPERMEABILIZAÇÃO DE SUPERFÍCIE COM ARGAMASSA POLIMÉRICA / MEMBRANA ACRÍLICA, 4 DEMÃOS, REFORÇADA COM VÉU DE POLIÉSTER</t>
  </si>
  <si>
    <t>AREA DA SUPERFICIE DO CILINDRO DIVIDIDO POR 2 (2π 0,2 (13,65+52,15) + (2π 0,2²)</t>
  </si>
  <si>
    <t>3.3</t>
  </si>
  <si>
    <t>99251</t>
  </si>
  <si>
    <t>CAIXA ENTERRADA HIDRÁULICA RETANGULAR EM ALVENARIA COM TIJOLOS CERÂMICOS MACIÇOS, DIMENSÕES INTERNAS: 0,4X0,4X0,4 M PARA REDE DE DRENAGEM</t>
  </si>
  <si>
    <t>UNID</t>
  </si>
  <si>
    <t>CÁLCULO DA QUANTIDADE DE CAIXAS</t>
  </si>
  <si>
    <t>3.4</t>
  </si>
  <si>
    <t>TAMPAO FOFO SIMPLES COM BASE, CLASSE A15 CARGA MAX 1,5 T, 400 X 400 MM, REDE PLUVIAL/ESGOTO/ELETRICA</t>
  </si>
  <si>
    <t xml:space="preserve">IMPERMEABILIZAÇÃO DE SUPERFÍCIE COM ARGAMASSA POLIMÉRICA / MEMBRANA ACRÍLICA, 3 DEMÃOS. </t>
  </si>
  <si>
    <t>TOTAL GERAL SEM BDI</t>
  </si>
  <si>
    <t>VALOR DO BDI</t>
  </si>
  <si>
    <t>TOTAL GERAL COM BDI</t>
  </si>
  <si>
    <t xml:space="preserve">
_________________________________________
CONSULTOP CONSULTORIA, PROJETOS E TOPOGRAFIA LTDA
Evilasio Manoel Silveira Chiacchio
ENG. CIVIL CREA-BA: N° 27.405/D</t>
  </si>
  <si>
    <t>CRONOGRAMA FÍSICO-FINANCEIRO -  GERÊNCIA DE  SALVADOR – BA</t>
  </si>
  <si>
    <t>1º mês</t>
  </si>
  <si>
    <t>2º mês</t>
  </si>
  <si>
    <t>CUSTO TOTAL COM BDI</t>
  </si>
  <si>
    <t>1ª semana</t>
  </si>
  <si>
    <t>2ª semana</t>
  </si>
  <si>
    <t>3ª semana</t>
  </si>
  <si>
    <t>4ª semana</t>
  </si>
  <si>
    <t>DESCRIÇÃO</t>
  </si>
  <si>
    <t xml:space="preserve">SERVIÇOS INCIAIS E ESCAVAÇÃO </t>
  </si>
  <si>
    <t>MENSAL</t>
  </si>
  <si>
    <t>TAD</t>
  </si>
  <si>
    <t>ACUMULADO</t>
  </si>
  <si>
    <t>TAXA DE ADMINISTRAÇÃO DA OBRA</t>
  </si>
  <si>
    <t>ADMINISTRAÇÃO DE OBRA</t>
  </si>
  <si>
    <t>ENCARREGADO GERAL COM ENCARGOS COMPLEMENTARES</t>
  </si>
  <si>
    <t>VALOR DA OBRA</t>
  </si>
  <si>
    <t>PORCENTAGEM DO TAD SOBRE O VALOR DA OBRA</t>
  </si>
  <si>
    <t>COMPOSIÇÃO BDI NORMAL</t>
  </si>
  <si>
    <t>VALOR</t>
  </si>
  <si>
    <t>DESPESAS INDIRETAS</t>
  </si>
  <si>
    <t>AC – ADMINISTRAÇÃO CENTRAL</t>
  </si>
  <si>
    <t>1.1.1</t>
  </si>
  <si>
    <t>Administração Central</t>
  </si>
  <si>
    <t>%</t>
  </si>
  <si>
    <t>SEGUROS RISCOS E GARANTIAS</t>
  </si>
  <si>
    <t>1.2.1</t>
  </si>
  <si>
    <t>S – Seguros + G – Garantias exigidas em edital</t>
  </si>
  <si>
    <t>1.2.2</t>
  </si>
  <si>
    <t>R – Riscos e Imprevistos (Obras medianas em área e/ou prazo, em condições normais  de execução)</t>
  </si>
  <si>
    <t>DF – DESPESAS FINANCEIRAS</t>
  </si>
  <si>
    <t>1.3.1</t>
  </si>
  <si>
    <t>Despesas Financeiras</t>
  </si>
  <si>
    <t>I – IMPOSTOS E TRIBUTOS</t>
  </si>
  <si>
    <t>1.4.1</t>
  </si>
  <si>
    <t>ISS</t>
  </si>
  <si>
    <t>1.4.2</t>
  </si>
  <si>
    <t>COFINS</t>
  </si>
  <si>
    <t>1.4.3</t>
  </si>
  <si>
    <t>PIS</t>
  </si>
  <si>
    <t>1.4.4</t>
  </si>
  <si>
    <t>CPRB</t>
  </si>
  <si>
    <t>L – BENEFÍCIOS</t>
  </si>
  <si>
    <t>LUCRO</t>
  </si>
  <si>
    <t>Lucro bruto</t>
  </si>
  <si>
    <t>BDI SERVIÇOS DA ADMINISTRAÇÃO – FÓRMULA                              BDI = {[(1+(AC + S + R + G))(1 + DF) (1 + L)] / (1 – I)}-1</t>
  </si>
  <si>
    <t>REFERÊNCIA: SETOP/MG - 01/2021</t>
  </si>
  <si>
    <t>ACÓRDÃO 2622/13 E LEI Nº 13.161 DE 31/08/15</t>
  </si>
  <si>
    <t>SERVIÇO</t>
  </si>
  <si>
    <t>DESCRIÇÃO DO SERVIÇO</t>
  </si>
  <si>
    <t>PRÓPRIA</t>
  </si>
  <si>
    <t>COMPOSIÇÃO DE PREÇO</t>
  </si>
  <si>
    <t>DESCRIÇÃO DA COMPOSIÇÃO</t>
  </si>
  <si>
    <t>QUANTIDADE</t>
  </si>
  <si>
    <t>CUSTO UNIT.</t>
  </si>
  <si>
    <t>CUSTO TOTAL</t>
  </si>
  <si>
    <t>20209/SINAPI</t>
  </si>
  <si>
    <t>CAIBRO APARELHADO *7,5 X 7,5* CM, EM MACARANDUBA, ANGELIM OU EQUIVALENTE DA REGIÃO</t>
  </si>
  <si>
    <t>m</t>
  </si>
  <si>
    <t>PLACA DE OBRA (PARA CONSTRUCAO CIVIL) EM CHAPA GALVANIZADA *N. 22*, ADESIVADA, M2 300,00 DE *2,0 X 1,125* M (SEM POSTES PARA FIXACAO)</t>
  </si>
  <si>
    <t>m2</t>
  </si>
  <si>
    <t>SARRAFO *2,5 X 5* CM EM PINUS, MISTA OU EQUIVALENTE DA REGIAO – BRUTA</t>
  </si>
  <si>
    <t>88262/SINAPI</t>
  </si>
  <si>
    <t>CARPINTEIRO DE FORMAS COM ENCARGOS COMPLEMENTARES</t>
  </si>
  <si>
    <t>h</t>
  </si>
  <si>
    <t>PREGO DE ACO POLIDO COM CABECA 18 X 30 (2 3/4 X 10)</t>
  </si>
  <si>
    <t>kg</t>
  </si>
  <si>
    <t>88316/SINAPI</t>
  </si>
  <si>
    <t>SERVENTE COM ENCARGOS COMPLEMENTARES</t>
  </si>
  <si>
    <t>TOTAL</t>
  </si>
  <si>
    <t xml:space="preserve">EQUIPE DE TOPOGRAFIA COMPOSTA DE 1 TOPOGRAFO. AUXILIAR DE TOPOGRAFIA, TEODOLITO E DEMAIS ACESSÓRIOS, INCLUINDO DESENHO </t>
  </si>
  <si>
    <t>90781/SINAPI</t>
  </si>
  <si>
    <t>TOPOGRAFO COM ENCARGOS COMPLEMENTARES</t>
  </si>
  <si>
    <t>88253/SINAPI</t>
  </si>
  <si>
    <t>AUXILIAR DE TOPÓGRAFO COM ENCARGOS COMPLEMENTARES</t>
  </si>
  <si>
    <t>FERRAMENTAS - FAMILIA TOPOGRAFO - HORISTA (ENCARGOS COMPLEMENTARES -  COLETADO CAIXA)</t>
  </si>
  <si>
    <t>EPI - FAMILIA TOPOGRAFO - HORISTA (ENCARGOS COMPLEMENTARES - COLETADO CAIXA)</t>
  </si>
  <si>
    <t>7247/SINAPI</t>
  </si>
  <si>
    <t>LOCACAO DE TEODOLITO ELETRONICO, PRECISAO ANGULAR DE 5 A 7 SEGUNDOS, INCLUINDO TRIPE</t>
  </si>
  <si>
    <t>90773/SINAPI</t>
  </si>
  <si>
    <t>DESENHISTA COPISTA COM ENCARGOS COMPLEMENTARES</t>
  </si>
  <si>
    <t>CONSULTOP CONSULTORIA, PROJETOS E TOPOGRAFIA LTDA
Evilasio Manoel Silveira Chiacchio
ENG. CIVIL CREA-BA: N° 27.405/D</t>
  </si>
  <si>
    <t>__________________________________
CONSULTOP CONSULTORIA, PROJETOS E TOPOGRAFIA LTDA
Evilasio Manoel Silveira Chiacchio
ENG. CIVIL CREA-BA: N° 27.405/D</t>
  </si>
  <si>
    <t>02 MESES DE OBRA</t>
  </si>
  <si>
    <t>43626</t>
  </si>
  <si>
    <t>ANM</t>
  </si>
  <si>
    <t>AGÊNCIA NACIONAL DE MINERAÇÃO</t>
  </si>
  <si>
    <t>TOTAL COM BDI</t>
  </si>
  <si>
    <t>TERMO DE REFERÊNCIA</t>
  </si>
  <si>
    <t>EXECUÇÃO DE REFORMA</t>
  </si>
  <si>
    <t>SALVADOR - BA</t>
  </si>
  <si>
    <t>REFORMA DE IMPERMEABILIZAÇÃO DE ESTRUTURA</t>
  </si>
  <si>
    <t>ENCARREGADO EM PERÍODO INTEGRAL NA OBRA - 22 DIAS X 8 HORAS X 2 MESES = 352 HORAS</t>
  </si>
  <si>
    <t>90778</t>
  </si>
  <si>
    <t>ENGENHEIRO CIVIL DE OBRA PLENO COM ENCARGOS COMPLEMENTARES</t>
  </si>
  <si>
    <t>ENGENHEIRO RESIDENTE FICANDO UMA HORA DIÁRIA DURANTE 44 DIAS = 44 HORAS</t>
  </si>
  <si>
    <t>TAXA DE ADMINISTRAÇÃO DA OBRA (11,516%)</t>
  </si>
  <si>
    <t>SALVADOR, 06 DE MAIO DE 2022</t>
  </si>
  <si>
    <t>REFERÊNCIA: SINAPI/BA 08/2022 – DESONERADA</t>
  </si>
  <si>
    <t>04813/SINAPI</t>
  </si>
  <si>
    <t>4512/SINAPI</t>
  </si>
  <si>
    <t>5075/SINAPI</t>
  </si>
  <si>
    <t>43469/SINAPI</t>
  </si>
  <si>
    <t>43493/SINAPI</t>
  </si>
  <si>
    <t>1523</t>
  </si>
  <si>
    <t>10917</t>
  </si>
  <si>
    <t>14112</t>
  </si>
  <si>
    <t>Data base: SINAPI AGOSTO 2022</t>
  </si>
  <si>
    <t>CURVA ABC</t>
  </si>
  <si>
    <t>Percentual (%)</t>
  </si>
  <si>
    <t>Percentual acumulado (%)</t>
  </si>
  <si>
    <t>ABC</t>
  </si>
  <si>
    <t>ESTATÍSTICA</t>
  </si>
  <si>
    <t>Classe</t>
  </si>
  <si>
    <t>Corte</t>
  </si>
  <si>
    <t>Proporção de serviços</t>
  </si>
  <si>
    <t>Proporçao de valor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</si>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</sst>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&quot; R$&quot;* #,##0.00\ ;&quot;-R$&quot;* #,##0.00\ ;&quot; R$&quot;* \-#\ ;@\ "/>
    <numFmt numFmtId="165" formatCode="&quot; R$ &quot;#,##0.00\ ;&quot; R$ (&quot;#,##0.00\);&quot; R$ -&quot;#\ ;@\ "/>
    <numFmt numFmtId="166" formatCode="#,##0.00\ ;&quot; (&quot;#,##0.00\);\-#\ ;@\ "/>
    <numFmt numFmtId="167" formatCode="* #,##0.00\ ;* \(#,##0.00\);* \-#\ ;@\ "/>
    <numFmt numFmtId="168" formatCode="&quot;R$ &quot;#,##0.00"/>
    <numFmt numFmtId="169" formatCode="&quot; R$&quot;* #,##0.00\ ;&quot; R$&quot;* \(#,##0.00\);&quot; R$&quot;* \-#\ ;@\ "/>
    <numFmt numFmtId="170" formatCode="* #,##0.00\ ;\-* #,##0.00\ ;* \-#\ ;@\ "/>
    <numFmt numFmtId="171" formatCode="0.00000%"/>
    <numFmt numFmtId="172" formatCode="0.0000%"/>
  </numFmts>
  <fonts count="4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/>
      <sz val="30"/>
      <color rgb="FF000000"/>
      <name val="Times New Roman"/>
      <family val="1"/>
      <charset val="1"/>
    </font>
    <font>
      <b/>
      <sz val="2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rgb="FF003366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  <charset val="1"/>
    </font>
    <font>
      <b/>
      <sz val="2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24"/>
      <name val="Times New Roman"/>
      <family val="1"/>
      <charset val="1"/>
    </font>
    <font>
      <sz val="11"/>
      <color rgb="FF000000"/>
      <name val="Calibri"/>
      <family val="2"/>
      <charset val="1"/>
    </font>
    <font>
      <sz val="10"/>
      <color rgb="FF00B050"/>
      <name val="Times New Roman"/>
      <family val="1"/>
      <charset val="1"/>
    </font>
    <font>
      <sz val="11"/>
      <color rgb="FF00B050"/>
      <name val="Calibri"/>
      <family val="2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2"/>
      <name val="Times New Roman"/>
      <family val="1"/>
      <charset val="1"/>
    </font>
    <font>
      <sz val="8"/>
      <name val="Calibri"/>
      <family val="2"/>
      <charset val="1"/>
    </font>
    <font>
      <b/>
      <sz val="22"/>
      <color rgb="FF00206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  <charset val="1"/>
    </font>
    <font>
      <sz val="11"/>
      <color theme="0"/>
      <name val="Calibri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E2F0D9"/>
        <bgColor rgb="FFDAE3F3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DAE3F3"/>
        <bgColor rgb="FFD9D9D9"/>
      </patternFill>
    </fill>
    <fill>
      <patternFill patternType="solid">
        <fgColor rgb="FF2E75B6"/>
        <bgColor rgb="FF0066CC"/>
      </patternFill>
    </fill>
    <fill>
      <patternFill patternType="solid">
        <fgColor rgb="FFFFD966"/>
        <bgColor rgb="FFFFFF99"/>
      </patternFill>
    </fill>
    <fill>
      <patternFill patternType="solid">
        <fgColor rgb="FF92D050"/>
        <bgColor rgb="FFA6A6A6"/>
      </patternFill>
    </fill>
    <fill>
      <patternFill patternType="solid">
        <fgColor rgb="FFD9D9D9"/>
        <bgColor rgb="FFDAE3F3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4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170" fontId="22" fillId="0" borderId="0" applyBorder="0" applyProtection="0"/>
    <xf numFmtId="9" fontId="22" fillId="0" borderId="0" applyBorder="0" applyProtection="0"/>
    <xf numFmtId="164" fontId="22" fillId="0" borderId="0" applyBorder="0" applyProtection="0"/>
    <xf numFmtId="165" fontId="2" fillId="0" borderId="0" applyBorder="0" applyProtection="0"/>
    <xf numFmtId="0" fontId="3" fillId="0" borderId="0">
      <alignment vertical="top"/>
    </xf>
    <xf numFmtId="0" fontId="4" fillId="0" borderId="0"/>
    <xf numFmtId="0" fontId="2" fillId="0" borderId="0" applyBorder="0" applyProtection="0"/>
    <xf numFmtId="0" fontId="5" fillId="0" borderId="0"/>
    <xf numFmtId="9" fontId="22" fillId="0" borderId="0" applyBorder="0" applyProtection="0"/>
    <xf numFmtId="9" fontId="2" fillId="0" borderId="0" applyBorder="0" applyProtection="0"/>
    <xf numFmtId="166" fontId="2" fillId="0" borderId="0" applyBorder="0" applyProtection="0"/>
    <xf numFmtId="167" fontId="22" fillId="0" borderId="0" applyBorder="0" applyProtection="0"/>
    <xf numFmtId="0" fontId="22" fillId="0" borderId="0" applyBorder="0" applyProtection="0"/>
    <xf numFmtId="44" fontId="22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/>
    </xf>
    <xf numFmtId="168" fontId="9" fillId="2" borderId="6" xfId="0" applyNumberFormat="1" applyFont="1" applyFill="1" applyBorder="1" applyAlignment="1">
      <alignment horizontal="center" vertical="center" wrapText="1"/>
    </xf>
    <xf numFmtId="10" fontId="9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8" fontId="11" fillId="3" borderId="15" xfId="0" applyNumberFormat="1" applyFont="1" applyFill="1" applyBorder="1" applyAlignment="1">
      <alignment horizontal="center" vertical="center"/>
    </xf>
    <xf numFmtId="10" fontId="11" fillId="3" borderId="15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168" fontId="12" fillId="5" borderId="19" xfId="0" applyNumberFormat="1" applyFont="1" applyFill="1" applyBorder="1" applyAlignment="1">
      <alignment horizontal="center" vertical="center"/>
    </xf>
    <xf numFmtId="168" fontId="12" fillId="5" borderId="21" xfId="0" applyNumberFormat="1" applyFont="1" applyFill="1" applyBorder="1" applyAlignment="1">
      <alignment horizontal="center" vertical="center"/>
    </xf>
    <xf numFmtId="168" fontId="12" fillId="5" borderId="23" xfId="0" applyNumberFormat="1" applyFont="1" applyFill="1" applyBorder="1" applyAlignment="1">
      <alignment horizontal="center" vertical="center"/>
    </xf>
    <xf numFmtId="0" fontId="0" fillId="6" borderId="4" xfId="0" applyFill="1" applyBorder="1"/>
    <xf numFmtId="0" fontId="4" fillId="0" borderId="30" xfId="0" applyFont="1" applyBorder="1"/>
    <xf numFmtId="0" fontId="4" fillId="0" borderId="16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33" xfId="0" applyFont="1" applyBorder="1"/>
    <xf numFmtId="0" fontId="16" fillId="8" borderId="34" xfId="6" applyFont="1" applyFill="1" applyBorder="1" applyAlignment="1">
      <alignment horizontal="center" vertical="center"/>
    </xf>
    <xf numFmtId="0" fontId="16" fillId="8" borderId="35" xfId="6" applyFont="1" applyFill="1" applyBorder="1" applyAlignment="1">
      <alignment horizontal="justify" vertical="top"/>
    </xf>
    <xf numFmtId="0" fontId="0" fillId="9" borderId="36" xfId="0" applyFill="1" applyBorder="1"/>
    <xf numFmtId="0" fontId="0" fillId="9" borderId="12" xfId="0" applyFill="1" applyBorder="1"/>
    <xf numFmtId="0" fontId="0" fillId="9" borderId="17" xfId="0" applyFill="1" applyBorder="1"/>
    <xf numFmtId="0" fontId="0" fillId="9" borderId="37" xfId="0" applyFill="1" applyBorder="1"/>
    <xf numFmtId="0" fontId="0" fillId="5" borderId="37" xfId="0" applyFill="1" applyBorder="1"/>
    <xf numFmtId="0" fontId="0" fillId="6" borderId="38" xfId="0" applyFill="1" applyBorder="1"/>
    <xf numFmtId="0" fontId="17" fillId="8" borderId="34" xfId="6" applyFont="1" applyFill="1" applyBorder="1"/>
    <xf numFmtId="0" fontId="17" fillId="8" borderId="35" xfId="6" applyFont="1" applyFill="1" applyBorder="1" applyAlignment="1">
      <alignment horizontal="justify" vertical="top"/>
    </xf>
    <xf numFmtId="0" fontId="0" fillId="9" borderId="39" xfId="0" applyFill="1" applyBorder="1"/>
    <xf numFmtId="0" fontId="0" fillId="9" borderId="40" xfId="0" applyFill="1" applyBorder="1"/>
    <xf numFmtId="0" fontId="0" fillId="9" borderId="41" xfId="0" applyFill="1" applyBorder="1"/>
    <xf numFmtId="0" fontId="0" fillId="9" borderId="42" xfId="0" applyFill="1" applyBorder="1"/>
    <xf numFmtId="0" fontId="0" fillId="5" borderId="42" xfId="0" applyFill="1" applyBorder="1"/>
    <xf numFmtId="10" fontId="0" fillId="0" borderId="44" xfId="2" applyNumberFormat="1" applyFont="1" applyBorder="1" applyAlignment="1" applyProtection="1"/>
    <xf numFmtId="10" fontId="0" fillId="0" borderId="45" xfId="2" applyNumberFormat="1" applyFont="1" applyBorder="1" applyAlignment="1" applyProtection="1"/>
    <xf numFmtId="10" fontId="0" fillId="0" borderId="46" xfId="2" applyNumberFormat="1" applyFont="1" applyBorder="1" applyAlignment="1" applyProtection="1"/>
    <xf numFmtId="10" fontId="0" fillId="0" borderId="47" xfId="2" applyNumberFormat="1" applyFont="1" applyBorder="1" applyAlignment="1" applyProtection="1"/>
    <xf numFmtId="10" fontId="0" fillId="0" borderId="48" xfId="2" applyNumberFormat="1" applyFont="1" applyBorder="1" applyAlignment="1" applyProtection="1"/>
    <xf numFmtId="10" fontId="4" fillId="6" borderId="49" xfId="2" applyNumberFormat="1" applyFont="1" applyFill="1" applyBorder="1" applyAlignment="1" applyProtection="1"/>
    <xf numFmtId="0" fontId="0" fillId="11" borderId="30" xfId="0" applyFill="1" applyBorder="1"/>
    <xf numFmtId="0" fontId="0" fillId="11" borderId="16" xfId="0" applyFill="1" applyBorder="1"/>
    <xf numFmtId="0" fontId="0" fillId="0" borderId="16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6" borderId="50" xfId="0" applyFill="1" applyBorder="1"/>
    <xf numFmtId="167" fontId="0" fillId="0" borderId="51" xfId="0" applyNumberFormat="1" applyBorder="1"/>
    <xf numFmtId="167" fontId="0" fillId="0" borderId="52" xfId="0" applyNumberFormat="1" applyBorder="1"/>
    <xf numFmtId="167" fontId="0" fillId="0" borderId="53" xfId="0" applyNumberFormat="1" applyBorder="1"/>
    <xf numFmtId="167" fontId="0" fillId="0" borderId="54" xfId="0" applyNumberFormat="1" applyBorder="1"/>
    <xf numFmtId="167" fontId="0" fillId="0" borderId="55" xfId="0" applyNumberFormat="1" applyBorder="1"/>
    <xf numFmtId="169" fontId="4" fillId="6" borderId="56" xfId="3" applyNumberFormat="1" applyFont="1" applyFill="1" applyBorder="1" applyAlignment="1" applyProtection="1"/>
    <xf numFmtId="10" fontId="0" fillId="0" borderId="58" xfId="2" applyNumberFormat="1" applyFont="1" applyBorder="1" applyAlignment="1" applyProtection="1"/>
    <xf numFmtId="10" fontId="0" fillId="0" borderId="11" xfId="2" applyNumberFormat="1" applyFont="1" applyBorder="1" applyAlignment="1" applyProtection="1"/>
    <xf numFmtId="10" fontId="0" fillId="0" borderId="13" xfId="2" applyNumberFormat="1" applyFont="1" applyBorder="1" applyAlignment="1" applyProtection="1"/>
    <xf numFmtId="10" fontId="0" fillId="0" borderId="59" xfId="2" applyNumberFormat="1" applyFont="1" applyBorder="1" applyAlignment="1" applyProtection="1"/>
    <xf numFmtId="0" fontId="0" fillId="11" borderId="31" xfId="0" applyFill="1" applyBorder="1"/>
    <xf numFmtId="0" fontId="0" fillId="11" borderId="32" xfId="0" applyFill="1" applyBorder="1"/>
    <xf numFmtId="0" fontId="0" fillId="11" borderId="33" xfId="0" applyFill="1" applyBorder="1"/>
    <xf numFmtId="167" fontId="0" fillId="0" borderId="60" xfId="0" applyNumberFormat="1" applyBorder="1"/>
    <xf numFmtId="167" fontId="0" fillId="0" borderId="12" xfId="0" applyNumberFormat="1" applyBorder="1"/>
    <xf numFmtId="167" fontId="0" fillId="0" borderId="17" xfId="0" applyNumberFormat="1" applyBorder="1"/>
    <xf numFmtId="167" fontId="0" fillId="0" borderId="61" xfId="0" applyNumberFormat="1" applyBorder="1"/>
    <xf numFmtId="0" fontId="0" fillId="0" borderId="30" xfId="0" applyBorder="1"/>
    <xf numFmtId="0" fontId="0" fillId="0" borderId="50" xfId="0" applyBorder="1"/>
    <xf numFmtId="0" fontId="0" fillId="6" borderId="63" xfId="0" applyFill="1" applyBorder="1"/>
    <xf numFmtId="0" fontId="19" fillId="12" borderId="64" xfId="6" applyFont="1" applyFill="1" applyBorder="1" applyAlignment="1">
      <alignment vertical="center"/>
    </xf>
    <xf numFmtId="0" fontId="19" fillId="12" borderId="7" xfId="6" applyFont="1" applyFill="1" applyBorder="1" applyAlignment="1">
      <alignment vertical="center"/>
    </xf>
    <xf numFmtId="0" fontId="0" fillId="6" borderId="65" xfId="0" applyFill="1" applyBorder="1"/>
    <xf numFmtId="0" fontId="19" fillId="12" borderId="3" xfId="6" applyFont="1" applyFill="1" applyBorder="1" applyAlignment="1">
      <alignment vertical="center"/>
    </xf>
    <xf numFmtId="10" fontId="19" fillId="12" borderId="3" xfId="6" applyNumberFormat="1" applyFont="1" applyFill="1" applyBorder="1" applyAlignment="1">
      <alignment vertical="center"/>
    </xf>
    <xf numFmtId="0" fontId="19" fillId="13" borderId="66" xfId="0" applyFont="1" applyFill="1" applyBorder="1"/>
    <xf numFmtId="0" fontId="4" fillId="13" borderId="67" xfId="0" applyFont="1" applyFill="1" applyBorder="1"/>
    <xf numFmtId="0" fontId="0" fillId="6" borderId="0" xfId="0" applyFill="1"/>
    <xf numFmtId="0" fontId="4" fillId="6" borderId="0" xfId="0" applyFont="1" applyFill="1"/>
    <xf numFmtId="0" fontId="4" fillId="6" borderId="0" xfId="0" applyFont="1" applyFill="1" applyAlignment="1">
      <alignment horizontal="left" vertical="top"/>
    </xf>
    <xf numFmtId="0" fontId="4" fillId="6" borderId="0" xfId="0" applyFont="1" applyFill="1" applyAlignment="1">
      <alignment horizontal="justify" vertical="top"/>
    </xf>
    <xf numFmtId="0" fontId="0" fillId="6" borderId="66" xfId="0" applyFill="1" applyBorder="1"/>
    <xf numFmtId="0" fontId="0" fillId="6" borderId="68" xfId="0" applyFill="1" applyBorder="1"/>
    <xf numFmtId="0" fontId="0" fillId="6" borderId="69" xfId="0" applyFill="1" applyBorder="1"/>
    <xf numFmtId="0" fontId="9" fillId="2" borderId="71" xfId="0" applyFont="1" applyFill="1" applyBorder="1" applyAlignment="1">
      <alignment horizontal="center" vertical="center"/>
    </xf>
    <xf numFmtId="168" fontId="9" fillId="2" borderId="72" xfId="0" applyNumberFormat="1" applyFont="1" applyFill="1" applyBorder="1" applyAlignment="1">
      <alignment horizontal="center" vertical="center" wrapText="1"/>
    </xf>
    <xf numFmtId="0" fontId="9" fillId="2" borderId="73" xfId="0" applyFont="1" applyFill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 wrapText="1"/>
    </xf>
    <xf numFmtId="168" fontId="10" fillId="0" borderId="11" xfId="0" applyNumberFormat="1" applyFont="1" applyBorder="1" applyAlignment="1">
      <alignment horizontal="center" vertical="center" wrapText="1"/>
    </xf>
    <xf numFmtId="10" fontId="10" fillId="0" borderId="11" xfId="0" applyNumberFormat="1" applyFont="1" applyBorder="1" applyAlignment="1">
      <alignment horizontal="center" vertical="center"/>
    </xf>
    <xf numFmtId="168" fontId="10" fillId="0" borderId="76" xfId="0" applyNumberFormat="1" applyFont="1" applyBorder="1" applyAlignment="1">
      <alignment horizontal="center" vertical="center" wrapText="1"/>
    </xf>
    <xf numFmtId="168" fontId="11" fillId="3" borderId="15" xfId="0" applyNumberFormat="1" applyFont="1" applyFill="1" applyBorder="1" applyAlignment="1">
      <alignment vertical="center"/>
    </xf>
    <xf numFmtId="0" fontId="11" fillId="3" borderId="15" xfId="0" applyFont="1" applyFill="1" applyBorder="1" applyAlignment="1">
      <alignment vertical="center"/>
    </xf>
    <xf numFmtId="168" fontId="11" fillId="3" borderId="78" xfId="0" applyNumberFormat="1" applyFont="1" applyFill="1" applyBorder="1" applyAlignment="1">
      <alignment vertical="center"/>
    </xf>
    <xf numFmtId="168" fontId="12" fillId="5" borderId="74" xfId="0" applyNumberFormat="1" applyFont="1" applyFill="1" applyBorder="1" applyAlignment="1">
      <alignment vertical="center"/>
    </xf>
    <xf numFmtId="168" fontId="12" fillId="5" borderId="80" xfId="0" applyNumberFormat="1" applyFont="1" applyFill="1" applyBorder="1" applyAlignment="1">
      <alignment vertical="center"/>
    </xf>
    <xf numFmtId="168" fontId="12" fillId="5" borderId="78" xfId="0" applyNumberFormat="1" applyFont="1" applyFill="1" applyBorder="1" applyAlignment="1">
      <alignment vertical="center" wrapText="1"/>
    </xf>
    <xf numFmtId="168" fontId="12" fillId="5" borderId="81" xfId="0" applyNumberFormat="1" applyFont="1" applyFill="1" applyBorder="1" applyAlignment="1">
      <alignment vertical="center"/>
    </xf>
    <xf numFmtId="0" fontId="6" fillId="0" borderId="16" xfId="7" applyFont="1" applyBorder="1" applyAlignment="1" applyProtection="1">
      <alignment horizontal="center" vertical="center"/>
    </xf>
    <xf numFmtId="0" fontId="6" fillId="0" borderId="16" xfId="7" applyFont="1" applyBorder="1" applyAlignment="1" applyProtection="1">
      <alignment horizontal="justify" vertical="center" wrapText="1"/>
    </xf>
    <xf numFmtId="4" fontId="6" fillId="0" borderId="16" xfId="7" applyNumberFormat="1" applyFont="1" applyBorder="1" applyAlignment="1" applyProtection="1">
      <alignment horizontal="center" vertical="center"/>
    </xf>
    <xf numFmtId="0" fontId="20" fillId="7" borderId="16" xfId="7" applyFont="1" applyFill="1" applyBorder="1" applyAlignment="1" applyProtection="1">
      <alignment horizontal="center" vertical="center"/>
    </xf>
    <xf numFmtId="165" fontId="20" fillId="7" borderId="16" xfId="4" applyFont="1" applyFill="1" applyBorder="1" applyAlignment="1" applyProtection="1">
      <alignment horizontal="center" vertical="center"/>
      <protection hidden="1"/>
    </xf>
    <xf numFmtId="0" fontId="9" fillId="8" borderId="16" xfId="7" applyFont="1" applyFill="1" applyBorder="1" applyAlignment="1" applyProtection="1">
      <alignment horizontal="center" vertical="center"/>
    </xf>
    <xf numFmtId="165" fontId="9" fillId="8" borderId="16" xfId="4" applyFont="1" applyFill="1" applyBorder="1" applyAlignment="1" applyProtection="1">
      <alignment horizontal="center" vertical="center"/>
      <protection hidden="1"/>
    </xf>
    <xf numFmtId="4" fontId="6" fillId="0" borderId="16" xfId="7" applyNumberFormat="1" applyFont="1" applyBorder="1" applyAlignment="1" applyProtection="1">
      <alignment horizontal="center" vertical="center"/>
      <protection hidden="1"/>
    </xf>
    <xf numFmtId="166" fontId="9" fillId="8" borderId="16" xfId="11" applyFont="1" applyFill="1" applyBorder="1" applyAlignment="1" applyProtection="1">
      <alignment horizontal="center" vertical="center"/>
      <protection hidden="1"/>
    </xf>
    <xf numFmtId="0" fontId="9" fillId="9" borderId="16" xfId="7" applyFont="1" applyFill="1" applyBorder="1" applyAlignment="1" applyProtection="1">
      <alignment horizontal="center" vertical="center"/>
    </xf>
    <xf numFmtId="4" fontId="9" fillId="9" borderId="16" xfId="7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9" fillId="14" borderId="25" xfId="0" applyFont="1" applyFill="1" applyBorder="1" applyAlignment="1">
      <alignment vertical="center"/>
    </xf>
    <xf numFmtId="0" fontId="10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49" fontId="10" fillId="0" borderId="85" xfId="0" applyNumberFormat="1" applyFont="1" applyBorder="1" applyAlignment="1">
      <alignment horizontal="center" vertical="center"/>
    </xf>
    <xf numFmtId="171" fontId="10" fillId="0" borderId="86" xfId="0" applyNumberFormat="1" applyFont="1" applyBorder="1" applyAlignment="1">
      <alignment horizontal="center" vertical="center"/>
    </xf>
    <xf numFmtId="0" fontId="10" fillId="14" borderId="26" xfId="0" applyFont="1" applyFill="1" applyBorder="1" applyAlignment="1">
      <alignment horizontal="center" vertical="center"/>
    </xf>
    <xf numFmtId="0" fontId="10" fillId="14" borderId="8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8" fontId="10" fillId="0" borderId="50" xfId="0" applyNumberFormat="1" applyFont="1" applyBorder="1" applyAlignment="1">
      <alignment horizontal="center" vertical="center"/>
    </xf>
    <xf numFmtId="168" fontId="10" fillId="0" borderId="69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/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4" fontId="25" fillId="2" borderId="6" xfId="0" applyNumberFormat="1" applyFont="1" applyFill="1" applyBorder="1" applyAlignment="1">
      <alignment horizontal="center" vertical="center"/>
    </xf>
    <xf numFmtId="168" fontId="25" fillId="2" borderId="6" xfId="0" applyNumberFormat="1" applyFont="1" applyFill="1" applyBorder="1" applyAlignment="1">
      <alignment horizontal="center" vertical="center" wrapText="1"/>
    </xf>
    <xf numFmtId="10" fontId="25" fillId="2" borderId="6" xfId="0" applyNumberFormat="1" applyFont="1" applyFill="1" applyBorder="1" applyAlignment="1">
      <alignment horizontal="center" vertical="center" wrapText="1"/>
    </xf>
    <xf numFmtId="168" fontId="25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0" fontId="26" fillId="0" borderId="11" xfId="0" applyFont="1" applyBorder="1" applyAlignment="1">
      <alignment horizontal="left" vertical="center" wrapText="1"/>
    </xf>
    <xf numFmtId="4" fontId="26" fillId="0" borderId="11" xfId="0" applyNumberFormat="1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168" fontId="26" fillId="0" borderId="11" xfId="0" applyNumberFormat="1" applyFont="1" applyBorder="1" applyAlignment="1">
      <alignment horizontal="center" vertical="center"/>
    </xf>
    <xf numFmtId="10" fontId="26" fillId="0" borderId="12" xfId="0" applyNumberFormat="1" applyFont="1" applyBorder="1" applyAlignment="1">
      <alignment horizontal="center" vertical="center"/>
    </xf>
    <xf numFmtId="10" fontId="26" fillId="0" borderId="13" xfId="0" applyNumberFormat="1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 wrapText="1"/>
    </xf>
    <xf numFmtId="4" fontId="26" fillId="0" borderId="12" xfId="0" applyNumberFormat="1" applyFont="1" applyBorder="1" applyAlignment="1">
      <alignment horizontal="center" vertical="center"/>
    </xf>
    <xf numFmtId="168" fontId="26" fillId="0" borderId="12" xfId="0" applyNumberFormat="1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168" fontId="27" fillId="3" borderId="15" xfId="0" applyNumberFormat="1" applyFont="1" applyFill="1" applyBorder="1" applyAlignment="1">
      <alignment horizontal="center" vertical="center"/>
    </xf>
    <xf numFmtId="10" fontId="27" fillId="3" borderId="15" xfId="0" applyNumberFormat="1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49" fontId="26" fillId="0" borderId="16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left" vertical="center" wrapText="1"/>
    </xf>
    <xf numFmtId="4" fontId="26" fillId="0" borderId="16" xfId="0" applyNumberFormat="1" applyFont="1" applyBorder="1" applyAlignment="1">
      <alignment horizontal="center" vertical="center"/>
    </xf>
    <xf numFmtId="168" fontId="26" fillId="0" borderId="16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3" fontId="26" fillId="0" borderId="12" xfId="0" applyNumberFormat="1" applyFont="1" applyBorder="1" applyAlignment="1">
      <alignment horizontal="center" vertical="center"/>
    </xf>
    <xf numFmtId="10" fontId="26" fillId="0" borderId="17" xfId="0" applyNumberFormat="1" applyFont="1" applyBorder="1" applyAlignment="1">
      <alignment horizontal="center" vertical="center"/>
    </xf>
    <xf numFmtId="168" fontId="26" fillId="15" borderId="11" xfId="0" applyNumberFormat="1" applyFont="1" applyFill="1" applyBorder="1" applyAlignment="1">
      <alignment horizontal="center" vertical="center"/>
    </xf>
    <xf numFmtId="4" fontId="10" fillId="15" borderId="0" xfId="0" applyNumberFormat="1" applyFont="1" applyFill="1" applyBorder="1" applyAlignment="1">
      <alignment horizontal="center" vertical="center"/>
    </xf>
    <xf numFmtId="0" fontId="10" fillId="0" borderId="9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168" fontId="10" fillId="0" borderId="34" xfId="0" applyNumberFormat="1" applyFont="1" applyBorder="1" applyAlignment="1">
      <alignment horizontal="center" vertical="center" wrapText="1"/>
    </xf>
    <xf numFmtId="168" fontId="10" fillId="0" borderId="85" xfId="0" applyNumberFormat="1" applyFont="1" applyBorder="1" applyAlignment="1">
      <alignment horizontal="center" vertical="center" wrapText="1"/>
    </xf>
    <xf numFmtId="0" fontId="10" fillId="0" borderId="99" xfId="0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168" fontId="10" fillId="0" borderId="16" xfId="0" applyNumberFormat="1" applyFont="1" applyBorder="1" applyAlignment="1">
      <alignment horizontal="center" vertical="center" wrapText="1"/>
    </xf>
    <xf numFmtId="10" fontId="10" fillId="0" borderId="16" xfId="0" applyNumberFormat="1" applyFont="1" applyBorder="1" applyAlignment="1">
      <alignment horizontal="center" vertical="center"/>
    </xf>
    <xf numFmtId="168" fontId="10" fillId="0" borderId="100" xfId="0" applyNumberFormat="1" applyFont="1" applyBorder="1" applyAlignment="1">
      <alignment horizontal="center" vertical="center" wrapText="1"/>
    </xf>
    <xf numFmtId="168" fontId="26" fillId="15" borderId="12" xfId="0" applyNumberFormat="1" applyFont="1" applyFill="1" applyBorder="1" applyAlignment="1">
      <alignment horizontal="center" vertical="center"/>
    </xf>
    <xf numFmtId="168" fontId="26" fillId="15" borderId="16" xfId="0" applyNumberFormat="1" applyFont="1" applyFill="1" applyBorder="1" applyAlignment="1">
      <alignment horizontal="center" vertical="center"/>
    </xf>
    <xf numFmtId="0" fontId="35" fillId="17" borderId="102" xfId="1" applyNumberFormat="1" applyFont="1" applyFill="1" applyBorder="1" applyAlignment="1">
      <alignment horizontal="center"/>
    </xf>
    <xf numFmtId="44" fontId="35" fillId="17" borderId="114" xfId="14" applyFont="1" applyFill="1" applyBorder="1" applyAlignment="1">
      <alignment horizontal="justify" vertical="center"/>
    </xf>
    <xf numFmtId="0" fontId="36" fillId="0" borderId="16" xfId="1" applyNumberFormat="1" applyFont="1" applyBorder="1" applyAlignment="1">
      <alignment horizontal="left"/>
    </xf>
    <xf numFmtId="44" fontId="36" fillId="15" borderId="100" xfId="14" applyFont="1" applyFill="1" applyBorder="1" applyAlignment="1">
      <alignment horizontal="justify" vertical="center"/>
    </xf>
    <xf numFmtId="0" fontId="35" fillId="16" borderId="108" xfId="0" applyFont="1" applyFill="1" applyBorder="1"/>
    <xf numFmtId="0" fontId="32" fillId="0" borderId="26" xfId="0" applyFont="1" applyFill="1" applyBorder="1" applyAlignment="1">
      <alignment horizontal="justify" vertical="top"/>
    </xf>
    <xf numFmtId="4" fontId="33" fillId="0" borderId="87" xfId="1" applyNumberFormat="1" applyFont="1" applyFill="1" applyBorder="1" applyAlignment="1">
      <alignment horizontal="right"/>
    </xf>
    <xf numFmtId="0" fontId="32" fillId="0" borderId="103" xfId="0" applyFont="1" applyFill="1" applyBorder="1" applyAlignment="1">
      <alignment horizontal="justify" vertical="top"/>
    </xf>
    <xf numFmtId="0" fontId="34" fillId="0" borderId="104" xfId="0" applyFont="1" applyFill="1" applyBorder="1" applyAlignment="1">
      <alignment horizontal="right"/>
    </xf>
    <xf numFmtId="0" fontId="32" fillId="0" borderId="105" xfId="0" applyFont="1" applyFill="1" applyBorder="1" applyAlignment="1">
      <alignment horizontal="justify" vertical="top" wrapText="1"/>
    </xf>
    <xf numFmtId="4" fontId="33" fillId="0" borderId="106" xfId="1" applyNumberFormat="1" applyFont="1" applyFill="1" applyBorder="1" applyAlignment="1">
      <alignment horizontal="right"/>
    </xf>
    <xf numFmtId="0" fontId="32" fillId="0" borderId="32" xfId="0" applyFont="1" applyFill="1" applyBorder="1" applyAlignment="1">
      <alignment horizontal="justify" vertical="top"/>
    </xf>
    <xf numFmtId="0" fontId="32" fillId="0" borderId="100" xfId="0" applyFont="1" applyFill="1" applyBorder="1" applyAlignment="1">
      <alignment horizontal="left"/>
    </xf>
    <xf numFmtId="0" fontId="32" fillId="0" borderId="108" xfId="0" applyFont="1" applyFill="1" applyBorder="1" applyAlignment="1">
      <alignment horizontal="justify" vertical="top"/>
    </xf>
    <xf numFmtId="4" fontId="32" fillId="0" borderId="109" xfId="1" applyNumberFormat="1" applyFont="1" applyFill="1" applyBorder="1" applyAlignment="1">
      <alignment horizontal="center" vertical="center" wrapText="1"/>
    </xf>
    <xf numFmtId="0" fontId="32" fillId="0" borderId="111" xfId="0" applyFont="1" applyFill="1" applyBorder="1" applyAlignment="1">
      <alignment horizontal="justify" vertical="top"/>
    </xf>
    <xf numFmtId="4" fontId="32" fillId="0" borderId="81" xfId="1" applyNumberFormat="1" applyFont="1" applyFill="1" applyBorder="1" applyAlignment="1">
      <alignment horizontal="center" vertical="center"/>
    </xf>
    <xf numFmtId="172" fontId="12" fillId="5" borderId="81" xfId="0" applyNumberFormat="1" applyFont="1" applyFill="1" applyBorder="1" applyAlignment="1">
      <alignment vertical="center"/>
    </xf>
    <xf numFmtId="44" fontId="35" fillId="16" borderId="109" xfId="14" applyFont="1" applyFill="1" applyBorder="1" applyAlignment="1">
      <alignment horizontal="justify" vertical="center"/>
    </xf>
    <xf numFmtId="168" fontId="26" fillId="0" borderId="16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10" fontId="26" fillId="0" borderId="16" xfId="0" applyNumberFormat="1" applyFont="1" applyFill="1" applyBorder="1" applyAlignment="1">
      <alignment horizontal="center" vertical="center"/>
    </xf>
    <xf numFmtId="0" fontId="0" fillId="18" borderId="116" xfId="0" applyFill="1" applyBorder="1" applyAlignment="1">
      <alignment horizontal="center"/>
    </xf>
    <xf numFmtId="0" fontId="0" fillId="18" borderId="117" xfId="0" applyFill="1" applyBorder="1" applyAlignment="1">
      <alignment horizontal="center"/>
    </xf>
    <xf numFmtId="0" fontId="30" fillId="0" borderId="101" xfId="0" applyFont="1" applyFill="1" applyBorder="1" applyAlignment="1">
      <alignment horizontal="center" vertical="center"/>
    </xf>
    <xf numFmtId="0" fontId="30" fillId="0" borderId="98" xfId="0" applyFont="1" applyFill="1" applyBorder="1" applyAlignment="1">
      <alignment horizontal="center" vertical="center"/>
    </xf>
    <xf numFmtId="0" fontId="30" fillId="0" borderId="107" xfId="0" applyFont="1" applyFill="1" applyBorder="1" applyAlignment="1">
      <alignment horizontal="center" vertical="center"/>
    </xf>
    <xf numFmtId="49" fontId="31" fillId="0" borderId="102" xfId="1" applyNumberFormat="1" applyFont="1" applyFill="1" applyBorder="1" applyAlignment="1">
      <alignment horizontal="center"/>
    </xf>
    <xf numFmtId="49" fontId="31" fillId="0" borderId="16" xfId="1" applyNumberFormat="1" applyFont="1" applyFill="1" applyBorder="1" applyAlignment="1">
      <alignment horizontal="center"/>
    </xf>
    <xf numFmtId="49" fontId="31" fillId="0" borderId="108" xfId="1" applyNumberFormat="1" applyFont="1" applyFill="1" applyBorder="1" applyAlignment="1">
      <alignment horizontal="center"/>
    </xf>
    <xf numFmtId="0" fontId="0" fillId="0" borderId="63" xfId="0" applyFill="1" applyBorder="1" applyAlignment="1">
      <alignment horizontal="center"/>
    </xf>
    <xf numFmtId="0" fontId="0" fillId="0" borderId="110" xfId="0" applyFill="1" applyBorder="1" applyAlignment="1">
      <alignment horizontal="center"/>
    </xf>
    <xf numFmtId="0" fontId="0" fillId="16" borderId="112" xfId="0" applyFill="1" applyBorder="1" applyAlignment="1">
      <alignment horizontal="center"/>
    </xf>
    <xf numFmtId="0" fontId="0" fillId="16" borderId="113" xfId="0" applyFill="1" applyBorder="1" applyAlignment="1">
      <alignment horizontal="center"/>
    </xf>
    <xf numFmtId="0" fontId="0" fillId="0" borderId="115" xfId="0" applyBorder="1" applyAlignment="1">
      <alignment horizontal="center"/>
    </xf>
    <xf numFmtId="0" fontId="0" fillId="0" borderId="32" xfId="0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center" wrapText="1"/>
    </xf>
    <xf numFmtId="0" fontId="27" fillId="3" borderId="14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6" borderId="0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 wrapText="1"/>
    </xf>
    <xf numFmtId="170" fontId="15" fillId="12" borderId="3" xfId="1" applyFont="1" applyFill="1" applyBorder="1" applyAlignment="1" applyProtection="1">
      <alignment horizontal="center" vertical="center"/>
    </xf>
    <xf numFmtId="167" fontId="15" fillId="12" borderId="64" xfId="0" applyNumberFormat="1" applyFont="1" applyFill="1" applyBorder="1" applyAlignment="1">
      <alignment horizontal="center" vertical="center"/>
    </xf>
    <xf numFmtId="170" fontId="0" fillId="6" borderId="3" xfId="0" applyNumberFormat="1" applyFill="1" applyBorder="1" applyAlignment="1">
      <alignment horizontal="center" vertical="center"/>
    </xf>
    <xf numFmtId="170" fontId="15" fillId="12" borderId="3" xfId="1" applyFont="1" applyFill="1" applyBorder="1" applyAlignment="1" applyProtection="1">
      <alignment horizontal="right" vertical="center"/>
    </xf>
    <xf numFmtId="167" fontId="15" fillId="12" borderId="3" xfId="0" applyNumberFormat="1" applyFont="1" applyFill="1" applyBorder="1" applyAlignment="1">
      <alignment horizontal="right" vertical="center"/>
    </xf>
    <xf numFmtId="170" fontId="19" fillId="13" borderId="3" xfId="0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center" vertical="center" textRotation="255"/>
    </xf>
    <xf numFmtId="0" fontId="16" fillId="10" borderId="0" xfId="6" applyFont="1" applyFill="1" applyBorder="1" applyAlignment="1">
      <alignment horizontal="center" vertical="center"/>
    </xf>
    <xf numFmtId="0" fontId="19" fillId="10" borderId="43" xfId="6" applyFont="1" applyFill="1" applyBorder="1" applyAlignment="1">
      <alignment horizontal="justify" vertical="center"/>
    </xf>
    <xf numFmtId="0" fontId="16" fillId="10" borderId="57" xfId="6" applyFont="1" applyFill="1" applyBorder="1" applyAlignment="1">
      <alignment horizontal="center" vertical="center"/>
    </xf>
    <xf numFmtId="0" fontId="19" fillId="10" borderId="3" xfId="6" applyFont="1" applyFill="1" applyBorder="1" applyAlignment="1">
      <alignment horizontal="justify" vertical="center"/>
    </xf>
    <xf numFmtId="0" fontId="16" fillId="10" borderId="42" xfId="6" applyFont="1" applyFill="1" applyBorder="1" applyAlignment="1">
      <alignment horizontal="center" vertical="center"/>
    </xf>
    <xf numFmtId="0" fontId="19" fillId="10" borderId="62" xfId="6" applyFont="1" applyFill="1" applyBorder="1" applyAlignment="1">
      <alignment horizontal="justify" vertical="center"/>
    </xf>
    <xf numFmtId="0" fontId="13" fillId="6" borderId="24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0" fillId="7" borderId="26" xfId="0" applyFill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8" borderId="29" xfId="0" applyFont="1" applyFill="1" applyBorder="1" applyAlignment="1">
      <alignment horizontal="center" vertical="center" wrapText="1"/>
    </xf>
    <xf numFmtId="0" fontId="9" fillId="0" borderId="82" xfId="0" applyFont="1" applyBorder="1" applyAlignment="1">
      <alignment horizontal="center" wrapText="1"/>
    </xf>
    <xf numFmtId="0" fontId="8" fillId="0" borderId="91" xfId="0" applyFont="1" applyBorder="1" applyAlignment="1">
      <alignment horizontal="center" vertical="center" wrapText="1"/>
    </xf>
    <xf numFmtId="0" fontId="8" fillId="0" borderId="92" xfId="0" applyFont="1" applyBorder="1" applyAlignment="1">
      <alignment horizontal="center" vertical="center" wrapText="1"/>
    </xf>
    <xf numFmtId="0" fontId="8" fillId="0" borderId="93" xfId="0" applyFont="1" applyBorder="1" applyAlignment="1">
      <alignment horizontal="center" vertical="center" wrapText="1"/>
    </xf>
    <xf numFmtId="0" fontId="8" fillId="0" borderId="9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5" xfId="0" applyFont="1" applyBorder="1" applyAlignment="1">
      <alignment horizontal="center" vertical="center" wrapText="1"/>
    </xf>
    <xf numFmtId="0" fontId="8" fillId="0" borderId="9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vertical="center" wrapText="1"/>
    </xf>
    <xf numFmtId="0" fontId="11" fillId="3" borderId="77" xfId="0" applyFont="1" applyFill="1" applyBorder="1" applyAlignment="1">
      <alignment horizontal="center" vertical="center"/>
    </xf>
    <xf numFmtId="0" fontId="12" fillId="5" borderId="73" xfId="0" applyFont="1" applyFill="1" applyBorder="1" applyAlignment="1">
      <alignment horizontal="right" vertical="center"/>
    </xf>
    <xf numFmtId="0" fontId="12" fillId="5" borderId="79" xfId="0" applyFont="1" applyFill="1" applyBorder="1" applyAlignment="1">
      <alignment horizontal="right" vertical="center"/>
    </xf>
    <xf numFmtId="0" fontId="12" fillId="5" borderId="77" xfId="0" applyFont="1" applyFill="1" applyBorder="1" applyAlignment="1">
      <alignment horizontal="right" vertical="center" wrapText="1"/>
    </xf>
    <xf numFmtId="0" fontId="6" fillId="0" borderId="70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 wrapText="1"/>
    </xf>
    <xf numFmtId="0" fontId="9" fillId="2" borderId="74" xfId="0" applyFont="1" applyFill="1" applyBorder="1" applyAlignment="1">
      <alignment horizontal="center" vertical="center"/>
    </xf>
    <xf numFmtId="0" fontId="6" fillId="0" borderId="16" xfId="7" applyFont="1" applyBorder="1" applyAlignment="1" applyProtection="1">
      <alignment horizontal="center" vertical="center"/>
    </xf>
    <xf numFmtId="0" fontId="6" fillId="0" borderId="16" xfId="7" applyFont="1" applyBorder="1" applyAlignment="1" applyProtection="1">
      <alignment horizontal="center" vertical="center" wrapText="1"/>
    </xf>
    <xf numFmtId="0" fontId="20" fillId="7" borderId="16" xfId="7" applyFont="1" applyFill="1" applyBorder="1" applyAlignment="1" applyProtection="1">
      <alignment horizontal="left" vertical="center" wrapText="1"/>
    </xf>
    <xf numFmtId="0" fontId="9" fillId="9" borderId="16" xfId="7" applyFont="1" applyFill="1" applyBorder="1" applyAlignment="1" applyProtection="1">
      <alignment horizontal="left" vertical="center" wrapText="1"/>
    </xf>
    <xf numFmtId="0" fontId="9" fillId="0" borderId="16" xfId="7" applyFont="1" applyBorder="1" applyAlignment="1" applyProtection="1">
      <alignment horizontal="center" vertical="center" wrapText="1"/>
    </xf>
    <xf numFmtId="10" fontId="21" fillId="0" borderId="16" xfId="10" applyNumberFormat="1" applyFont="1" applyBorder="1" applyAlignment="1" applyProtection="1">
      <alignment horizontal="center" vertical="center"/>
      <protection hidden="1"/>
    </xf>
    <xf numFmtId="0" fontId="9" fillId="8" borderId="16" xfId="7" applyFont="1" applyFill="1" applyBorder="1" applyAlignment="1" applyProtection="1">
      <alignment horizontal="left" vertical="center" wrapText="1"/>
    </xf>
    <xf numFmtId="0" fontId="9" fillId="0" borderId="16" xfId="13" applyFont="1" applyBorder="1" applyAlignment="1" applyProtection="1">
      <alignment horizontal="center" vertical="center" wrapText="1"/>
    </xf>
    <xf numFmtId="0" fontId="9" fillId="0" borderId="16" xfId="7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right" vertical="center"/>
    </xf>
    <xf numFmtId="0" fontId="8" fillId="0" borderId="88" xfId="0" applyFont="1" applyBorder="1" applyAlignment="1">
      <alignment horizontal="center" vertical="center" wrapText="1"/>
    </xf>
    <xf numFmtId="0" fontId="8" fillId="0" borderId="89" xfId="0" applyFont="1" applyBorder="1" applyAlignment="1">
      <alignment horizontal="center" vertical="center" wrapText="1"/>
    </xf>
    <xf numFmtId="0" fontId="8" fillId="0" borderId="90" xfId="0" applyFont="1" applyBorder="1" applyAlignment="1">
      <alignment horizontal="center" vertical="center" wrapText="1"/>
    </xf>
    <xf numFmtId="0" fontId="10" fillId="14" borderId="63" xfId="0" applyFont="1" applyFill="1" applyBorder="1" applyAlignment="1">
      <alignment horizontal="center" vertical="center"/>
    </xf>
    <xf numFmtId="0" fontId="10" fillId="14" borderId="26" xfId="0" applyFont="1" applyFill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9" fillId="14" borderId="25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87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19" xfId="0" applyFont="1" applyBorder="1" applyAlignment="1">
      <alignment horizontal="center" vertical="center" wrapText="1"/>
    </xf>
    <xf numFmtId="0" fontId="8" fillId="0" borderId="120" xfId="0" applyFont="1" applyBorder="1" applyAlignment="1">
      <alignment horizontal="center" vertical="center" wrapText="1"/>
    </xf>
    <xf numFmtId="0" fontId="25" fillId="2" borderId="121" xfId="0" applyFont="1" applyFill="1" applyBorder="1" applyAlignment="1">
      <alignment horizontal="center" vertical="center" wrapText="1"/>
    </xf>
    <xf numFmtId="0" fontId="25" fillId="2" borderId="102" xfId="0" applyFont="1" applyFill="1" applyBorder="1" applyAlignment="1">
      <alignment horizontal="center" vertical="center"/>
    </xf>
    <xf numFmtId="4" fontId="25" fillId="2" borderId="102" xfId="0" applyNumberFormat="1" applyFont="1" applyFill="1" applyBorder="1" applyAlignment="1">
      <alignment horizontal="center" vertical="center"/>
    </xf>
    <xf numFmtId="168" fontId="25" fillId="2" borderId="102" xfId="0" applyNumberFormat="1" applyFont="1" applyFill="1" applyBorder="1" applyAlignment="1">
      <alignment horizontal="center" vertical="center" wrapText="1"/>
    </xf>
    <xf numFmtId="10" fontId="25" fillId="2" borderId="102" xfId="0" applyNumberFormat="1" applyFont="1" applyFill="1" applyBorder="1" applyAlignment="1">
      <alignment horizontal="center" vertical="center" wrapText="1"/>
    </xf>
    <xf numFmtId="168" fontId="25" fillId="2" borderId="114" xfId="0" applyNumberFormat="1" applyFont="1" applyFill="1" applyBorder="1" applyAlignment="1">
      <alignment horizontal="center" vertical="center" wrapText="1"/>
    </xf>
    <xf numFmtId="0" fontId="26" fillId="0" borderId="99" xfId="0" applyFont="1" applyFill="1" applyBorder="1" applyAlignment="1">
      <alignment horizontal="left" vertical="center" wrapText="1"/>
    </xf>
    <xf numFmtId="168" fontId="26" fillId="0" borderId="100" xfId="0" applyNumberFormat="1" applyFont="1" applyFill="1" applyBorder="1" applyAlignment="1">
      <alignment horizontal="center" vertical="center"/>
    </xf>
    <xf numFmtId="0" fontId="26" fillId="0" borderId="122" xfId="0" applyFont="1" applyFill="1" applyBorder="1" applyAlignment="1">
      <alignment horizontal="left" vertical="center" wrapText="1"/>
    </xf>
    <xf numFmtId="0" fontId="26" fillId="0" borderId="108" xfId="0" applyFont="1" applyFill="1" applyBorder="1" applyAlignment="1">
      <alignment horizontal="center" vertical="center"/>
    </xf>
    <xf numFmtId="3" fontId="26" fillId="0" borderId="108" xfId="0" applyNumberFormat="1" applyFont="1" applyFill="1" applyBorder="1" applyAlignment="1">
      <alignment horizontal="center" vertical="center"/>
    </xf>
    <xf numFmtId="168" fontId="26" fillId="0" borderId="108" xfId="0" applyNumberFormat="1" applyFont="1" applyFill="1" applyBorder="1" applyAlignment="1">
      <alignment horizontal="center" vertical="center"/>
    </xf>
    <xf numFmtId="10" fontId="26" fillId="0" borderId="108" xfId="0" applyNumberFormat="1" applyFont="1" applyFill="1" applyBorder="1" applyAlignment="1">
      <alignment horizontal="center" vertical="center"/>
    </xf>
    <xf numFmtId="168" fontId="26" fillId="0" borderId="109" xfId="0" applyNumberFormat="1" applyFont="1" applyFill="1" applyBorder="1" applyAlignment="1">
      <alignment horizontal="center" vertical="center"/>
    </xf>
    <xf numFmtId="0" fontId="38" fillId="17" borderId="121" xfId="0" applyFont="1" applyFill="1" applyBorder="1" applyAlignment="1">
      <alignment horizontal="center" vertical="center" wrapText="1"/>
    </xf>
    <xf numFmtId="0" fontId="9" fillId="17" borderId="102" xfId="0" applyFont="1" applyFill="1" applyBorder="1" applyAlignment="1">
      <alignment horizontal="center" vertical="center" wrapText="1"/>
    </xf>
    <xf numFmtId="0" fontId="9" fillId="17" borderId="114" xfId="0" applyFont="1" applyFill="1" applyBorder="1" applyAlignment="1">
      <alignment horizontal="center" vertical="center"/>
    </xf>
    <xf numFmtId="10" fontId="10" fillId="0" borderId="99" xfId="0" applyNumberFormat="1" applyFont="1" applyBorder="1" applyAlignment="1">
      <alignment horizontal="center" vertical="center"/>
    </xf>
    <xf numFmtId="10" fontId="10" fillId="0" borderId="122" xfId="0" applyNumberFormat="1" applyFont="1" applyBorder="1" applyAlignment="1">
      <alignment horizontal="center" vertical="center"/>
    </xf>
    <xf numFmtId="10" fontId="10" fillId="0" borderId="108" xfId="0" applyNumberFormat="1" applyFont="1" applyBorder="1" applyAlignment="1">
      <alignment horizontal="center" vertical="center"/>
    </xf>
    <xf numFmtId="170" fontId="35" fillId="0" borderId="118" xfId="1" applyFont="1" applyBorder="1" applyAlignment="1">
      <alignment horizontal="center" vertical="center"/>
    </xf>
    <xf numFmtId="170" fontId="35" fillId="0" borderId="119" xfId="1" applyFont="1" applyBorder="1" applyAlignment="1">
      <alignment horizontal="center" vertical="center"/>
    </xf>
    <xf numFmtId="170" fontId="35" fillId="0" borderId="120" xfId="1" applyFont="1" applyBorder="1" applyAlignment="1">
      <alignment horizontal="center" vertical="center"/>
    </xf>
    <xf numFmtId="170" fontId="37" fillId="17" borderId="11" xfId="1" applyFont="1" applyFill="1" applyBorder="1" applyAlignment="1">
      <alignment horizontal="center" vertical="center"/>
    </xf>
    <xf numFmtId="170" fontId="37" fillId="17" borderId="11" xfId="1" applyFont="1" applyFill="1" applyBorder="1" applyAlignment="1">
      <alignment horizontal="center" vertical="center" wrapText="1"/>
    </xf>
    <xf numFmtId="170" fontId="1" fillId="0" borderId="16" xfId="1" applyFont="1" applyBorder="1" applyAlignment="1">
      <alignment horizontal="center" vertical="center"/>
    </xf>
    <xf numFmtId="9" fontId="1" fillId="0" borderId="16" xfId="1" applyNumberFormat="1" applyFont="1" applyBorder="1" applyAlignment="1">
      <alignment horizontal="center" vertical="center"/>
    </xf>
    <xf numFmtId="9" fontId="1" fillId="0" borderId="16" xfId="2" applyFont="1" applyBorder="1" applyAlignment="1">
      <alignment horizontal="center" vertical="center"/>
    </xf>
    <xf numFmtId="10" fontId="1" fillId="0" borderId="16" xfId="2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/>
    <xf numFmtId="0" fontId="39" fillId="0" borderId="0" xfId="0" applyFont="1" applyBorder="1" applyAlignment="1">
      <alignment horizontal="center" vertical="center" wrapText="1"/>
    </xf>
    <xf numFmtId="168" fontId="40" fillId="0" borderId="0" xfId="0" applyNumberFormat="1" applyFont="1" applyBorder="1" applyAlignment="1">
      <alignment horizontal="center" vertical="center"/>
    </xf>
    <xf numFmtId="170" fontId="36" fillId="0" borderId="76" xfId="1" applyFont="1" applyBorder="1" applyAlignment="1">
      <alignment horizontal="center" vertical="center"/>
    </xf>
    <xf numFmtId="170" fontId="36" fillId="0" borderId="123" xfId="1" applyFont="1" applyBorder="1" applyAlignment="1">
      <alignment horizontal="center" vertical="center"/>
    </xf>
  </cellXfs>
  <cellStyles count="15">
    <cellStyle name="Excel Built-in Normal" xfId="13" xr:uid="{00000000-0005-0000-0000-000010000000}"/>
    <cellStyle name="Moeda" xfId="14" builtinId="4"/>
    <cellStyle name="Moeda 2" xfId="3" xr:uid="{00000000-0005-0000-0000-000006000000}"/>
    <cellStyle name="Moeda 3" xfId="4" xr:uid="{00000000-0005-0000-0000-000007000000}"/>
    <cellStyle name="Normal" xfId="0" builtinId="0"/>
    <cellStyle name="Normal 2" xfId="5" xr:uid="{00000000-0005-0000-0000-000008000000}"/>
    <cellStyle name="Normal 2 2" xfId="6" xr:uid="{00000000-0005-0000-0000-000009000000}"/>
    <cellStyle name="Normal 2 2 2" xfId="7" xr:uid="{00000000-0005-0000-0000-00000A000000}"/>
    <cellStyle name="Normal 2 3" xfId="8" xr:uid="{00000000-0005-0000-0000-00000B000000}"/>
    <cellStyle name="Porcentagem" xfId="2" builtinId="5"/>
    <cellStyle name="Porcentagem 2" xfId="9" xr:uid="{00000000-0005-0000-0000-00000C000000}"/>
    <cellStyle name="Porcentagem 2 2" xfId="10" xr:uid="{00000000-0005-0000-0000-00000D000000}"/>
    <cellStyle name="Separador de milhares 4" xfId="11" xr:uid="{00000000-0005-0000-0000-00000E000000}"/>
    <cellStyle name="Vírgula" xfId="1" builtinId="3"/>
    <cellStyle name="Vírgula 2" xfId="12" xr:uid="{00000000-0005-0000-0000-00000F000000}"/>
  </cellStyles>
  <dxfs count="5"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fgColor theme="4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C7CE"/>
        </patternFill>
      </fill>
    </dxf>
    <dxf>
      <font>
        <color auto="1"/>
      </font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BFBFBF"/>
      <rgbColor rgb="FFFF99CC"/>
      <rgbColor rgb="FFCC99FF"/>
      <rgbColor rgb="FFFFD966"/>
      <rgbColor rgb="FF2E75B6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ABC'!$I$6</c:f>
              <c:strCache>
                <c:ptCount val="1"/>
                <c:pt idx="0">
                  <c:v>Percentual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'CURVA ABC'!$A$7:$A$32</c:f>
              <c:strCache>
                <c:ptCount val="26"/>
                <c:pt idx="0">
                  <c:v>ESCAVAÇÃO HORIZONTAL, INCLUINDO CARGA, DESCARGA E TRANSPORTE EM SOLO DE 1A CATEGORIA COM TRATOR DE ESTEIRAS (150HP/LÂMINA: 3,18M3) E CAMINHÃ O BASCULANTE DE 10M3, DMT ATÉ 200M</c:v>
                </c:pt>
                <c:pt idx="1">
                  <c:v>PISO CIMENTADO, TRAÇO 1:3 (CIMENTO E AREIA), ACABAMENTO LISO, ESPESSURA 2,0 CM, PREPARO MECÂNICO DA ARGAMASSA.</c:v>
                </c:pt>
                <c:pt idx="2">
                  <c:v>CONCRETO USINADO CONVENCIONAL (NAO BOMBEAVEL) CLASSE DE RESISTENCIA C15, COM BRITA 1 E 2, SLUMP = 80 MM +/- 10 MM (NBR 8953)</c:v>
                </c:pt>
                <c:pt idx="3">
                  <c:v>TRANSPORTE COM CAMINHÃO BASCULANTE DE 6 M³, EM VIA URBANA PAVIMENTADA,  ATÉ 30 KM (UNIDADE: M3XKM).</c:v>
                </c:pt>
                <c:pt idx="4">
                  <c:v>ESCAVAÇÃO HORIZONTAL EM SOLO DE 1A CATEGORIA COM TRATOR DE ESTEIRAS ( 100HP/LÂMINA: 2,19M3).</c:v>
                </c:pt>
                <c:pt idx="5">
                  <c:v>EXECUÇÃO DE DEPÓSITO EM CANTEIRO DE OBRA EM CHAPA DE MADEIRA COMPENSADA, NÃO INCLUSO MOBILIÁRIO.</c:v>
                </c:pt>
                <c:pt idx="6">
                  <c:v>TELA DE ACO SOLDADA NERVURADA, CA-60, Q-61, (0,97 KG/M2), DIAMETRO DO FIO = 3,4 MM, LARGURA = 2,45 M, ESPACAMENTO DA MALHA = 15 X 15 CM</c:v>
                </c:pt>
                <c:pt idx="7">
                  <c:v>MASSA ÚNICA, PARA RECEBIMENTO DE PINTURA, EM ARGAMASSA TRAÇO 1:2:8, PREPARO MANUAL, APLICADA MANUALMENTE EM FACES INTERNAS DE PAREDES, ESPESSURA DE 20MM, COM EXECUÇÃO DE TALISCAS.</c:v>
                </c:pt>
                <c:pt idx="8">
                  <c:v>IMPERMEABILIZAÇÃO DE SUPERFÍCIE COM ARGAMASSA POLIMÉRICA / MEMBRANA ACRÍLICA, 4 DEMÃOS, REFORÇADA COM VÉU DE POLIÉSTER</c:v>
                </c:pt>
                <c:pt idx="9">
                  <c:v>IMPERMEABILIZAÇÃO DE SUPERFÍCIE COM ARGAMASSA POLIMÉRICA / MEMBRANA ACRÍLICA, 3 DEMÃOS.</c:v>
                </c:pt>
                <c:pt idx="10">
                  <c:v>APLICAÇÃO MANUAL DE TINTA LÁTEX ACRÍLICA EM SUPERFÍCIES EXTERNAS DE SACADA DE EDIFÍCIOS DE MÚLTIPLOS PAVIMENTOS, DUAS DEMÃOS.</c:v>
                </c:pt>
                <c:pt idx="11">
                  <c:v>CANALETA MEIA CANA PRÉ-MOLDADA DE CONCRETO (D = 30 CM) - FORNECIMENTO  E INSTALAÇÃO</c:v>
                </c:pt>
                <c:pt idx="12">
                  <c:v>IMPERMEABILIZAÇÃO DE SUPERFÍCIE COM ARGAMASSA POLIMÉRICA / MEMBRANA ACRÍLICA, 3 DEMÃOS.</c:v>
                </c:pt>
                <c:pt idx="13">
                  <c:v>IMPERMEABILIZAÇÃO DE SUPERFÍCIE COM ARGAMASSA POLIMÉRICA / MEMBRANA ACRÍLICA, 3 DEMÃOS. </c:v>
                </c:pt>
                <c:pt idx="14">
                  <c:v>REATERRO MANUAL DE VALAS COM COMPACTAÇÃO MECANIZADA</c:v>
                </c:pt>
                <c:pt idx="15">
                  <c:v>LASTRO COM MATERIAL GRANULAR, APLICADO EM PISOS OU LAJES SOBRE SOLO, ESPESSURA DE *5 CM*</c:v>
                </c:pt>
                <c:pt idx="16">
                  <c:v>COMPACTAÇÃO MECÂNICA DE SOLO PARA EXECUÇÃO DE RADIER, PISO DE CONCRETO OU LAJE SOBRE SOLO, COM COMPACTADOR DE SOLOS A PERCUSSÃO.</c:v>
                </c:pt>
                <c:pt idx="17">
                  <c:v>CHAPISCO APLICADO EM ALVENARIA (COM PRESENÇA DE VÃOS) E ESTRUTURAS DE CONCRETO DE FACHADA, COM ROLO PARA TEXTURA ACRÍLICA. ARGAMASSA INDUSTRIALIZADA COM PREPARO MANUAL.</c:v>
                </c:pt>
                <c:pt idx="18">
                  <c:v>LIMPEZA MANUAL DE VEGETAÇÃO EM TERRENO COM ENXADA</c:v>
                </c:pt>
                <c:pt idx="19">
                  <c:v>DEMOLIÇÃO DE ALVENARIA DE BLOCO FURADO, DE FORMA MANUAL, COM REAPROVEITAMENTO.</c:v>
                </c:pt>
                <c:pt idx="20">
                  <c:v>PLACA DE OBRA</c:v>
                </c:pt>
                <c:pt idx="21">
                  <c:v>EQUIPE DE TOPOGRAFIA COMPOSTA DE 1 TOPOGRAFO. AUXILIAR DE TOPOGRAFIA, TEODOLITO E DEMAIS ACESSÓRIOS, INCLUINDO DESENHO</c:v>
                </c:pt>
                <c:pt idx="22">
                  <c:v>TAMPAO FOFO SIMPLES COM BASE, CLASSE A15 CARGA MAX 1,5 T, 400 X 400 MM, REDE PLUVIAL/ESGOTO/ELETRICA</c:v>
                </c:pt>
                <c:pt idx="23">
                  <c:v>CAIXA ENTERRADA HIDRÁULICA RETANGULAR EM ALVENARIA COM TIJOLOS CERÂMICOS MACIÇOS, DIMENSÕES INTERNAS: 0,4X0,4X0,4 M PARA REDE DE DRENAGEM</c:v>
                </c:pt>
                <c:pt idx="24">
                  <c:v>LIMPEZA DE SUPERFÍCIE COM JATO DE ALTA PRESSÃO.</c:v>
                </c:pt>
                <c:pt idx="25">
                  <c:v>MASSA CORRIDA PVA PARA PAREDES</c:v>
                </c:pt>
              </c:strCache>
            </c:strRef>
          </c:cat>
          <c:val>
            <c:numRef>
              <c:f>'CURVA ABC'!$I$7:$I$32</c:f>
              <c:numCache>
                <c:formatCode>0.00%</c:formatCode>
                <c:ptCount val="26"/>
                <c:pt idx="0">
                  <c:v>0.20061369003155485</c:v>
                </c:pt>
                <c:pt idx="1">
                  <c:v>0.16015301483319747</c:v>
                </c:pt>
                <c:pt idx="2">
                  <c:v>0.12565716341495892</c:v>
                </c:pt>
                <c:pt idx="3">
                  <c:v>9.7087452073748595E-2</c:v>
                </c:pt>
                <c:pt idx="4">
                  <c:v>5.6746716779216479E-2</c:v>
                </c:pt>
                <c:pt idx="5">
                  <c:v>4.935135782339195E-2</c:v>
                </c:pt>
                <c:pt idx="6">
                  <c:v>4.7214921825824735E-2</c:v>
                </c:pt>
                <c:pt idx="7">
                  <c:v>4.4111609352069404E-2</c:v>
                </c:pt>
                <c:pt idx="8">
                  <c:v>2.9375410609997408E-2</c:v>
                </c:pt>
                <c:pt idx="9">
                  <c:v>2.8115549735857143E-2</c:v>
                </c:pt>
                <c:pt idx="10">
                  <c:v>2.2196486633571426E-2</c:v>
                </c:pt>
                <c:pt idx="11">
                  <c:v>2.0106090152024227E-2</c:v>
                </c:pt>
                <c:pt idx="12">
                  <c:v>1.5592142007824711E-2</c:v>
                </c:pt>
                <c:pt idx="13">
                  <c:v>1.5592142007824711E-2</c:v>
                </c:pt>
                <c:pt idx="14">
                  <c:v>1.2812266284288668E-2</c:v>
                </c:pt>
                <c:pt idx="15">
                  <c:v>1.2557070764699342E-2</c:v>
                </c:pt>
                <c:pt idx="16">
                  <c:v>1.250670818141846E-2</c:v>
                </c:pt>
                <c:pt idx="17">
                  <c:v>1.2025702147953721E-2</c:v>
                </c:pt>
                <c:pt idx="18">
                  <c:v>1.1289612418797203E-2</c:v>
                </c:pt>
                <c:pt idx="19">
                  <c:v>1.0297919291687925E-2</c:v>
                </c:pt>
                <c:pt idx="20">
                  <c:v>6.4253108708567088E-3</c:v>
                </c:pt>
                <c:pt idx="21">
                  <c:v>4.0609449340343355E-3</c:v>
                </c:pt>
                <c:pt idx="22">
                  <c:v>2.2755884286699817E-3</c:v>
                </c:pt>
                <c:pt idx="23">
                  <c:v>1.8888757356203695E-3</c:v>
                </c:pt>
                <c:pt idx="24">
                  <c:v>1.7611296906448689E-3</c:v>
                </c:pt>
                <c:pt idx="25">
                  <c:v>1.851239702661853E-4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3A-4DAB-8584-FC0AB1F57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6753919"/>
        <c:axId val="1678999583"/>
      </c:barChart>
      <c:lineChart>
        <c:grouping val="standard"/>
        <c:varyColors val="0"/>
        <c:ser>
          <c:idx val="1"/>
          <c:order val="1"/>
          <c:tx>
            <c:strRef>
              <c:f>'CURVA ABC'!$J$6</c:f>
              <c:strCache>
                <c:ptCount val="1"/>
                <c:pt idx="0">
                  <c:v>Percentual acumulado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'CURVA ABC'!$A$7:$A$32</c:f>
              <c:strCache>
                <c:ptCount val="26"/>
                <c:pt idx="0">
                  <c:v>ESCAVAÇÃO HORIZONTAL, INCLUINDO CARGA, DESCARGA E TRANSPORTE EM SOLO DE 1A CATEGORIA COM TRATOR DE ESTEIRAS (150HP/LÂMINA: 3,18M3) E CAMINHÃ O BASCULANTE DE 10M3, DMT ATÉ 200M</c:v>
                </c:pt>
                <c:pt idx="1">
                  <c:v>PISO CIMENTADO, TRAÇO 1:3 (CIMENTO E AREIA), ACABAMENTO LISO, ESPESSURA 2,0 CM, PREPARO MECÂNICO DA ARGAMASSA.</c:v>
                </c:pt>
                <c:pt idx="2">
                  <c:v>CONCRETO USINADO CONVENCIONAL (NAO BOMBEAVEL) CLASSE DE RESISTENCIA C15, COM BRITA 1 E 2, SLUMP = 80 MM +/- 10 MM (NBR 8953)</c:v>
                </c:pt>
                <c:pt idx="3">
                  <c:v>TRANSPORTE COM CAMINHÃO BASCULANTE DE 6 M³, EM VIA URBANA PAVIMENTADA,  ATÉ 30 KM (UNIDADE: M3XKM).</c:v>
                </c:pt>
                <c:pt idx="4">
                  <c:v>ESCAVAÇÃO HORIZONTAL EM SOLO DE 1A CATEGORIA COM TRATOR DE ESTEIRAS ( 100HP/LÂMINA: 2,19M3).</c:v>
                </c:pt>
                <c:pt idx="5">
                  <c:v>EXECUÇÃO DE DEPÓSITO EM CANTEIRO DE OBRA EM CHAPA DE MADEIRA COMPENSADA, NÃO INCLUSO MOBILIÁRIO.</c:v>
                </c:pt>
                <c:pt idx="6">
                  <c:v>TELA DE ACO SOLDADA NERVURADA, CA-60, Q-61, (0,97 KG/M2), DIAMETRO DO FIO = 3,4 MM, LARGURA = 2,45 M, ESPACAMENTO DA MALHA = 15 X 15 CM</c:v>
                </c:pt>
                <c:pt idx="7">
                  <c:v>MASSA ÚNICA, PARA RECEBIMENTO DE PINTURA, EM ARGAMASSA TRAÇO 1:2:8, PREPARO MANUAL, APLICADA MANUALMENTE EM FACES INTERNAS DE PAREDES, ESPESSURA DE 20MM, COM EXECUÇÃO DE TALISCAS.</c:v>
                </c:pt>
                <c:pt idx="8">
                  <c:v>IMPERMEABILIZAÇÃO DE SUPERFÍCIE COM ARGAMASSA POLIMÉRICA / MEMBRANA ACRÍLICA, 4 DEMÃOS, REFORÇADA COM VÉU DE POLIÉSTER</c:v>
                </c:pt>
                <c:pt idx="9">
                  <c:v>IMPERMEABILIZAÇÃO DE SUPERFÍCIE COM ARGAMASSA POLIMÉRICA / MEMBRANA ACRÍLICA, 3 DEMÃOS.</c:v>
                </c:pt>
                <c:pt idx="10">
                  <c:v>APLICAÇÃO MANUAL DE TINTA LÁTEX ACRÍLICA EM SUPERFÍCIES EXTERNAS DE SACADA DE EDIFÍCIOS DE MÚLTIPLOS PAVIMENTOS, DUAS DEMÃOS.</c:v>
                </c:pt>
                <c:pt idx="11">
                  <c:v>CANALETA MEIA CANA PRÉ-MOLDADA DE CONCRETO (D = 30 CM) - FORNECIMENTO  E INSTALAÇÃO</c:v>
                </c:pt>
                <c:pt idx="12">
                  <c:v>IMPERMEABILIZAÇÃO DE SUPERFÍCIE COM ARGAMASSA POLIMÉRICA / MEMBRANA ACRÍLICA, 3 DEMÃOS.</c:v>
                </c:pt>
                <c:pt idx="13">
                  <c:v>IMPERMEABILIZAÇÃO DE SUPERFÍCIE COM ARGAMASSA POLIMÉRICA / MEMBRANA ACRÍLICA, 3 DEMÃOS. </c:v>
                </c:pt>
                <c:pt idx="14">
                  <c:v>REATERRO MANUAL DE VALAS COM COMPACTAÇÃO MECANIZADA</c:v>
                </c:pt>
                <c:pt idx="15">
                  <c:v>LASTRO COM MATERIAL GRANULAR, APLICADO EM PISOS OU LAJES SOBRE SOLO, ESPESSURA DE *5 CM*</c:v>
                </c:pt>
                <c:pt idx="16">
                  <c:v>COMPACTAÇÃO MECÂNICA DE SOLO PARA EXECUÇÃO DE RADIER, PISO DE CONCRETO OU LAJE SOBRE SOLO, COM COMPACTADOR DE SOLOS A PERCUSSÃO.</c:v>
                </c:pt>
                <c:pt idx="17">
                  <c:v>CHAPISCO APLICADO EM ALVENARIA (COM PRESENÇA DE VÃOS) E ESTRUTURAS DE CONCRETO DE FACHADA, COM ROLO PARA TEXTURA ACRÍLICA. ARGAMASSA INDUSTRIALIZADA COM PREPARO MANUAL.</c:v>
                </c:pt>
                <c:pt idx="18">
                  <c:v>LIMPEZA MANUAL DE VEGETAÇÃO EM TERRENO COM ENXADA</c:v>
                </c:pt>
                <c:pt idx="19">
                  <c:v>DEMOLIÇÃO DE ALVENARIA DE BLOCO FURADO, DE FORMA MANUAL, COM REAPROVEITAMENTO.</c:v>
                </c:pt>
                <c:pt idx="20">
                  <c:v>PLACA DE OBRA</c:v>
                </c:pt>
                <c:pt idx="21">
                  <c:v>EQUIPE DE TOPOGRAFIA COMPOSTA DE 1 TOPOGRAFO. AUXILIAR DE TOPOGRAFIA, TEODOLITO E DEMAIS ACESSÓRIOS, INCLUINDO DESENHO</c:v>
                </c:pt>
                <c:pt idx="22">
                  <c:v>TAMPAO FOFO SIMPLES COM BASE, CLASSE A15 CARGA MAX 1,5 T, 400 X 400 MM, REDE PLUVIAL/ESGOTO/ELETRICA</c:v>
                </c:pt>
                <c:pt idx="23">
                  <c:v>CAIXA ENTERRADA HIDRÁULICA RETANGULAR EM ALVENARIA COM TIJOLOS CERÂMICOS MACIÇOS, DIMENSÕES INTERNAS: 0,4X0,4X0,4 M PARA REDE DE DRENAGEM</c:v>
                </c:pt>
                <c:pt idx="24">
                  <c:v>LIMPEZA DE SUPERFÍCIE COM JATO DE ALTA PRESSÃO.</c:v>
                </c:pt>
                <c:pt idx="25">
                  <c:v>MASSA CORRIDA PVA PARA PAREDES</c:v>
                </c:pt>
              </c:strCache>
            </c:strRef>
          </c:cat>
          <c:val>
            <c:numRef>
              <c:f>'CURVA ABC'!$J$7:$J$32</c:f>
              <c:numCache>
                <c:formatCode>0.00%</c:formatCode>
                <c:ptCount val="26"/>
                <c:pt idx="0">
                  <c:v>0.20061369003155485</c:v>
                </c:pt>
                <c:pt idx="1">
                  <c:v>0.36076670486475232</c:v>
                </c:pt>
                <c:pt idx="2">
                  <c:v>0.48642386827971124</c:v>
                </c:pt>
                <c:pt idx="3">
                  <c:v>0.58351132035345987</c:v>
                </c:pt>
                <c:pt idx="4">
                  <c:v>0.64025803713267637</c:v>
                </c:pt>
                <c:pt idx="5">
                  <c:v>0.68960939495606832</c:v>
                </c:pt>
                <c:pt idx="6">
                  <c:v>0.73682431678189308</c:v>
                </c:pt>
                <c:pt idx="7">
                  <c:v>0.78093592613396245</c:v>
                </c:pt>
                <c:pt idx="8">
                  <c:v>0.81031133674395983</c:v>
                </c:pt>
                <c:pt idx="9">
                  <c:v>0.838426886479817</c:v>
                </c:pt>
                <c:pt idx="10">
                  <c:v>0.86062337311338843</c:v>
                </c:pt>
                <c:pt idx="11">
                  <c:v>0.88072946326541268</c:v>
                </c:pt>
                <c:pt idx="12">
                  <c:v>0.89632160527323734</c:v>
                </c:pt>
                <c:pt idx="13">
                  <c:v>0.911913747281062</c:v>
                </c:pt>
                <c:pt idx="14">
                  <c:v>0.92472601356535067</c:v>
                </c:pt>
                <c:pt idx="15">
                  <c:v>0.93728308433005003</c:v>
                </c:pt>
                <c:pt idx="16">
                  <c:v>0.94978979251146844</c:v>
                </c:pt>
                <c:pt idx="17">
                  <c:v>0.96181549465942218</c:v>
                </c:pt>
                <c:pt idx="18">
                  <c:v>0.9731051070782194</c:v>
                </c:pt>
                <c:pt idx="19">
                  <c:v>0.98340302636990728</c:v>
                </c:pt>
                <c:pt idx="20">
                  <c:v>0.98982833724076402</c:v>
                </c:pt>
                <c:pt idx="21">
                  <c:v>0.99388928217479833</c:v>
                </c:pt>
                <c:pt idx="22">
                  <c:v>0.99616487060346826</c:v>
                </c:pt>
                <c:pt idx="23">
                  <c:v>0.99805374633908861</c:v>
                </c:pt>
                <c:pt idx="24">
                  <c:v>0.99981487602973351</c:v>
                </c:pt>
                <c:pt idx="25">
                  <c:v>0.99999999999999967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3A-4DAB-8584-FC0AB1F57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753919"/>
        <c:axId val="1678999583"/>
      </c:lineChart>
      <c:catAx>
        <c:axId val="174675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78999583"/>
        <c:crosses val="autoZero"/>
        <c:auto val="1"/>
        <c:lblAlgn val="ctr"/>
        <c:lblOffset val="100"/>
        <c:noMultiLvlLbl val="0"/>
      </c:catAx>
      <c:valAx>
        <c:axId val="167899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4675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0</xdr:row>
      <xdr:rowOff>28575</xdr:rowOff>
    </xdr:from>
    <xdr:to>
      <xdr:col>1</xdr:col>
      <xdr:colOff>923924</xdr:colOff>
      <xdr:row>4</xdr:row>
      <xdr:rowOff>76200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3CFA064-0246-4578-AA6A-1595F8ABE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49" y="28575"/>
          <a:ext cx="904875" cy="784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15120</xdr:rowOff>
    </xdr:from>
    <xdr:to>
      <xdr:col>2</xdr:col>
      <xdr:colOff>933480</xdr:colOff>
      <xdr:row>3</xdr:row>
      <xdr:rowOff>152640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5120"/>
          <a:ext cx="2026800" cy="727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15120</xdr:colOff>
      <xdr:row>2</xdr:row>
      <xdr:rowOff>22680</xdr:rowOff>
    </xdr:from>
    <xdr:to>
      <xdr:col>4</xdr:col>
      <xdr:colOff>827280</xdr:colOff>
      <xdr:row>3</xdr:row>
      <xdr:rowOff>82080</xdr:rowOff>
    </xdr:to>
    <xdr:pic>
      <xdr:nvPicPr>
        <xdr:cNvPr id="2" name="Picture 1_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34080" y="372960"/>
          <a:ext cx="2031480" cy="5025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15120</xdr:rowOff>
    </xdr:from>
    <xdr:to>
      <xdr:col>2</xdr:col>
      <xdr:colOff>933480</xdr:colOff>
      <xdr:row>3</xdr:row>
      <xdr:rowOff>118004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5120"/>
          <a:ext cx="2026800" cy="718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14400</xdr:rowOff>
    </xdr:from>
    <xdr:to>
      <xdr:col>2</xdr:col>
      <xdr:colOff>934560</xdr:colOff>
      <xdr:row>3</xdr:row>
      <xdr:rowOff>83444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4400"/>
          <a:ext cx="2027880" cy="694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0</xdr:row>
      <xdr:rowOff>209549</xdr:rowOff>
    </xdr:from>
    <xdr:to>
      <xdr:col>33</xdr:col>
      <xdr:colOff>0</xdr:colOff>
      <xdr:row>10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4F94115-94A2-4A29-A730-75850BFD6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is_\Downloads\Nova%20pasta\danpf\Desktop\Trabalho\Agencia%20Nacional%20de%20Minera&#231;&#227;o%20-%20ANM\Execu&#231;&#227;o%20dos%20Servi&#231;os\Etapa%204%20-%20Or&#231;amento%20e%20Memorias%20de%20Calculo\MODELO%20OR&#199;AMENTO%20AN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271E1-B18B-486C-9EE7-BC8F41EC7EDE}">
  <dimension ref="A1:D10"/>
  <sheetViews>
    <sheetView showGridLines="0" tabSelected="1" workbookViewId="0">
      <selection activeCell="D5" sqref="D5"/>
    </sheetView>
  </sheetViews>
  <sheetFormatPr defaultRowHeight="15" x14ac:dyDescent="0.25"/>
  <cols>
    <col min="2" max="2" width="13.85546875" customWidth="1"/>
    <col min="3" max="3" width="76" bestFit="1" customWidth="1"/>
    <col min="4" max="4" width="32.85546875" customWidth="1"/>
  </cols>
  <sheetData>
    <row r="1" spans="1:4" x14ac:dyDescent="0.25">
      <c r="A1" s="208" t="s">
        <v>210</v>
      </c>
      <c r="B1" s="211"/>
      <c r="C1" s="188" t="s">
        <v>213</v>
      </c>
      <c r="D1" s="189"/>
    </row>
    <row r="2" spans="1:4" x14ac:dyDescent="0.25">
      <c r="A2" s="209"/>
      <c r="B2" s="212"/>
      <c r="C2" s="190" t="s">
        <v>211</v>
      </c>
      <c r="D2" s="191"/>
    </row>
    <row r="3" spans="1:4" x14ac:dyDescent="0.25">
      <c r="A3" s="209"/>
      <c r="B3" s="212"/>
      <c r="C3" s="192" t="s">
        <v>216</v>
      </c>
      <c r="D3" s="193"/>
    </row>
    <row r="4" spans="1:4" x14ac:dyDescent="0.25">
      <c r="A4" s="209"/>
      <c r="B4" s="212"/>
      <c r="C4" s="194" t="s">
        <v>215</v>
      </c>
      <c r="D4" s="195" t="s">
        <v>232</v>
      </c>
    </row>
    <row r="5" spans="1:4" ht="15.75" thickBot="1" x14ac:dyDescent="0.3">
      <c r="A5" s="210"/>
      <c r="B5" s="213"/>
      <c r="C5" s="196"/>
      <c r="D5" s="197"/>
    </row>
    <row r="6" spans="1:4" ht="15.75" thickBot="1" x14ac:dyDescent="0.3">
      <c r="A6" s="214"/>
      <c r="B6" s="215"/>
      <c r="C6" s="198" t="s">
        <v>133</v>
      </c>
      <c r="D6" s="199" t="s">
        <v>13</v>
      </c>
    </row>
    <row r="7" spans="1:4" x14ac:dyDescent="0.25">
      <c r="A7" s="216"/>
      <c r="B7" s="217"/>
      <c r="C7" s="183"/>
      <c r="D7" s="184"/>
    </row>
    <row r="8" spans="1:4" x14ac:dyDescent="0.25">
      <c r="A8" s="218"/>
      <c r="B8" s="219"/>
      <c r="C8" s="185" t="s">
        <v>214</v>
      </c>
      <c r="D8" s="186">
        <f>'PLANILHA ORÇAMENTÁRIA'!M49</f>
        <v>196727.83774074371</v>
      </c>
    </row>
    <row r="9" spans="1:4" x14ac:dyDescent="0.25">
      <c r="A9" s="218"/>
      <c r="B9" s="219"/>
      <c r="C9" s="185" t="s">
        <v>221</v>
      </c>
      <c r="D9" s="186">
        <f>TAD!L17</f>
        <v>20727.905519999997</v>
      </c>
    </row>
    <row r="10" spans="1:4" ht="15.75" thickBot="1" x14ac:dyDescent="0.3">
      <c r="A10" s="206"/>
      <c r="B10" s="207"/>
      <c r="C10" s="187" t="s">
        <v>212</v>
      </c>
      <c r="D10" s="201">
        <f>SUM(D8:D9)</f>
        <v>217455.74326074371</v>
      </c>
    </row>
  </sheetData>
  <mergeCells count="7">
    <mergeCell ref="A10:B10"/>
    <mergeCell ref="A1:A5"/>
    <mergeCell ref="B1:B5"/>
    <mergeCell ref="A6:B6"/>
    <mergeCell ref="A7:B7"/>
    <mergeCell ref="A8:B8"/>
    <mergeCell ref="A9:B9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51"/>
  <sheetViews>
    <sheetView zoomScaleNormal="100" workbookViewId="0">
      <selection activeCell="A50" sqref="A50:M50"/>
    </sheetView>
  </sheetViews>
  <sheetFormatPr defaultColWidth="9.140625" defaultRowHeight="15.75" x14ac:dyDescent="0.25"/>
  <cols>
    <col min="1" max="1" width="7" style="1" customWidth="1"/>
    <col min="2" max="2" width="8.7109375" style="1" customWidth="1"/>
    <col min="3" max="3" width="19.28515625" style="2" customWidth="1"/>
    <col min="4" max="4" width="52.85546875" style="3" customWidth="1"/>
    <col min="5" max="5" width="11" style="1" customWidth="1"/>
    <col min="6" max="6" width="9.5703125" style="4" customWidth="1"/>
    <col min="7" max="7" width="56.28515625" style="3" customWidth="1"/>
    <col min="8" max="8" width="12.42578125" style="5" customWidth="1"/>
    <col min="9" max="9" width="14.140625" style="5" customWidth="1"/>
    <col min="10" max="10" width="12.42578125" style="6" customWidth="1"/>
    <col min="11" max="11" width="12.42578125" style="5" customWidth="1"/>
    <col min="12" max="12" width="14.140625" style="5" customWidth="1"/>
    <col min="13" max="13" width="23.5703125" style="5" customWidth="1"/>
    <col min="14" max="64" width="9.140625" style="1"/>
  </cols>
  <sheetData>
    <row r="1" spans="1:64" ht="16.5" customHeight="1" x14ac:dyDescent="0.25">
      <c r="A1" s="229"/>
      <c r="B1" s="229"/>
      <c r="C1" s="229"/>
      <c r="D1" s="230" t="s">
        <v>0</v>
      </c>
      <c r="E1" s="230"/>
      <c r="F1" s="230"/>
      <c r="G1" s="230"/>
      <c r="H1" s="230"/>
      <c r="I1" s="230"/>
      <c r="J1" s="230"/>
      <c r="K1" s="230"/>
      <c r="L1" s="230"/>
      <c r="M1" s="230"/>
    </row>
    <row r="2" spans="1:64" x14ac:dyDescent="0.25">
      <c r="A2" s="229"/>
      <c r="B2" s="229"/>
      <c r="C2" s="229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64" x14ac:dyDescent="0.25">
      <c r="A3" s="229"/>
      <c r="B3" s="229"/>
      <c r="C3" s="229"/>
      <c r="D3" s="230"/>
      <c r="E3" s="230"/>
      <c r="F3" s="230"/>
      <c r="G3" s="230"/>
      <c r="H3" s="230"/>
      <c r="I3" s="230"/>
      <c r="J3" s="230"/>
      <c r="K3" s="230"/>
      <c r="L3" s="230"/>
      <c r="M3" s="230"/>
    </row>
    <row r="4" spans="1:64" x14ac:dyDescent="0.25">
      <c r="A4" s="229"/>
      <c r="B4" s="229"/>
      <c r="C4" s="229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64" ht="15.75" customHeight="1" x14ac:dyDescent="0.25">
      <c r="A5" s="231" t="s">
        <v>1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</row>
    <row r="6" spans="1:64" ht="15.75" customHeight="1" x14ac:dyDescent="0.25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64" ht="15.75" customHeight="1" x14ac:dyDescent="0.25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</row>
    <row r="8" spans="1:64" ht="15.75" customHeight="1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</row>
    <row r="9" spans="1:64" ht="15.75" customHeight="1" x14ac:dyDescent="0.25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</row>
    <row r="10" spans="1:64" ht="15.75" customHeight="1" x14ac:dyDescent="0.25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</row>
    <row r="11" spans="1:64" ht="27.6" customHeight="1" x14ac:dyDescent="0.25">
      <c r="A11" s="232" t="s">
        <v>223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</row>
    <row r="12" spans="1:64" ht="47.25" x14ac:dyDescent="0.25">
      <c r="A12" s="134" t="s">
        <v>2</v>
      </c>
      <c r="B12" s="135" t="s">
        <v>3</v>
      </c>
      <c r="C12" s="136" t="s">
        <v>4</v>
      </c>
      <c r="D12" s="137" t="s">
        <v>5</v>
      </c>
      <c r="E12" s="135" t="s">
        <v>6</v>
      </c>
      <c r="F12" s="138" t="s">
        <v>7</v>
      </c>
      <c r="G12" s="137" t="s">
        <v>8</v>
      </c>
      <c r="H12" s="139" t="s">
        <v>9</v>
      </c>
      <c r="I12" s="139" t="s">
        <v>10</v>
      </c>
      <c r="J12" s="140" t="s">
        <v>11</v>
      </c>
      <c r="K12" s="139" t="s">
        <v>12</v>
      </c>
      <c r="L12" s="139" t="s">
        <v>13</v>
      </c>
      <c r="M12" s="141" t="s">
        <v>14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spans="1:64" x14ac:dyDescent="0.25">
      <c r="A13" s="142">
        <v>1</v>
      </c>
      <c r="B13" s="222" t="s">
        <v>15</v>
      </c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5.5" x14ac:dyDescent="0.25">
      <c r="A14" s="143" t="s">
        <v>16</v>
      </c>
      <c r="B14" s="144" t="s">
        <v>17</v>
      </c>
      <c r="C14" s="145" t="s">
        <v>18</v>
      </c>
      <c r="D14" s="146" t="s">
        <v>19</v>
      </c>
      <c r="E14" s="144" t="s">
        <v>20</v>
      </c>
      <c r="F14" s="147">
        <f>(204.6+397.4)</f>
        <v>602</v>
      </c>
      <c r="G14" s="148" t="s">
        <v>21</v>
      </c>
      <c r="H14" s="169">
        <v>2.69</v>
      </c>
      <c r="I14" s="149">
        <f t="shared" ref="I14:I22" si="0">H14*F14</f>
        <v>1619.3799999999999</v>
      </c>
      <c r="J14" s="150">
        <v>0.2495</v>
      </c>
      <c r="K14" s="149">
        <f t="shared" ref="K14:K22" si="1">H14+(H14*J14)</f>
        <v>3.3611550000000001</v>
      </c>
      <c r="L14" s="149">
        <f t="shared" ref="L14:L22" si="2">K14*F14</f>
        <v>2023.4153100000001</v>
      </c>
      <c r="M14" s="151">
        <f t="shared" ref="M14:M22" si="3">L14/$M$49</f>
        <v>1.0285353274032029E-2</v>
      </c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</row>
    <row r="15" spans="1:64" ht="15" x14ac:dyDescent="0.25">
      <c r="A15" s="143" t="s">
        <v>22</v>
      </c>
      <c r="B15" s="144" t="s">
        <v>23</v>
      </c>
      <c r="C15" s="145" t="s">
        <v>24</v>
      </c>
      <c r="D15" s="146" t="s">
        <v>25</v>
      </c>
      <c r="E15" s="144" t="s">
        <v>20</v>
      </c>
      <c r="F15" s="147">
        <f>1.8*1.1</f>
        <v>1.9800000000000002</v>
      </c>
      <c r="G15" s="148" t="s">
        <v>26</v>
      </c>
      <c r="H15" s="169">
        <f>'COMPOSIÇÃO PRÓPRIA '!J23</f>
        <v>465.47749999999996</v>
      </c>
      <c r="I15" s="149">
        <f t="shared" si="0"/>
        <v>921.64544999999998</v>
      </c>
      <c r="J15" s="150">
        <v>0.2495</v>
      </c>
      <c r="K15" s="149">
        <f t="shared" si="1"/>
        <v>581.61413625</v>
      </c>
      <c r="L15" s="149">
        <f t="shared" si="2"/>
        <v>1151.5959897750001</v>
      </c>
      <c r="M15" s="151">
        <f t="shared" si="3"/>
        <v>5.8537520820648786E-3</v>
      </c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</row>
    <row r="16" spans="1:64" ht="38.25" x14ac:dyDescent="0.25">
      <c r="A16" s="143" t="s">
        <v>27</v>
      </c>
      <c r="B16" s="144" t="s">
        <v>17</v>
      </c>
      <c r="C16" s="145" t="s">
        <v>28</v>
      </c>
      <c r="D16" s="146" t="s">
        <v>29</v>
      </c>
      <c r="E16" s="144" t="s">
        <v>20</v>
      </c>
      <c r="F16" s="147">
        <f>2.5*3</f>
        <v>7.5</v>
      </c>
      <c r="G16" s="148" t="s">
        <v>30</v>
      </c>
      <c r="H16" s="169">
        <v>943.86</v>
      </c>
      <c r="I16" s="149">
        <f t="shared" si="0"/>
        <v>7078.95</v>
      </c>
      <c r="J16" s="150">
        <v>0.2495</v>
      </c>
      <c r="K16" s="149">
        <f t="shared" si="1"/>
        <v>1179.3530700000001</v>
      </c>
      <c r="L16" s="149">
        <f t="shared" si="2"/>
        <v>8845.1480250000004</v>
      </c>
      <c r="M16" s="151">
        <f t="shared" si="3"/>
        <v>4.4961344192968315E-2</v>
      </c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</row>
    <row r="17" spans="1:64" ht="38.25" x14ac:dyDescent="0.25">
      <c r="A17" s="143" t="s">
        <v>31</v>
      </c>
      <c r="B17" s="152" t="s">
        <v>23</v>
      </c>
      <c r="C17" s="153" t="s">
        <v>36</v>
      </c>
      <c r="D17" s="154" t="s">
        <v>37</v>
      </c>
      <c r="E17" s="152" t="s">
        <v>38</v>
      </c>
      <c r="F17" s="155">
        <f>F14*0.5</f>
        <v>301</v>
      </c>
      <c r="G17" s="148" t="s">
        <v>39</v>
      </c>
      <c r="H17" s="181">
        <f>'COMPOSIÇÃO PRÓPRIA '!J34</f>
        <v>1.9352200000000002</v>
      </c>
      <c r="I17" s="156">
        <f t="shared" si="0"/>
        <v>582.5012200000001</v>
      </c>
      <c r="J17" s="150">
        <v>0.2495</v>
      </c>
      <c r="K17" s="156">
        <f t="shared" si="1"/>
        <v>2.4180573900000004</v>
      </c>
      <c r="L17" s="156">
        <f t="shared" si="2"/>
        <v>727.83527439000011</v>
      </c>
      <c r="M17" s="151">
        <f t="shared" si="3"/>
        <v>3.699706573043172E-3</v>
      </c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</row>
    <row r="18" spans="1:64" ht="25.5" x14ac:dyDescent="0.25">
      <c r="A18" s="143" t="s">
        <v>35</v>
      </c>
      <c r="B18" s="152" t="s">
        <v>17</v>
      </c>
      <c r="C18" s="153" t="s">
        <v>41</v>
      </c>
      <c r="D18" s="154" t="s">
        <v>42</v>
      </c>
      <c r="E18" s="152" t="s">
        <v>43</v>
      </c>
      <c r="F18" s="155">
        <f>((204.6-41.13)*2.75)+((397.4-28.42)*3.15)</f>
        <v>1611.8294999999998</v>
      </c>
      <c r="G18" s="148" t="s">
        <v>44</v>
      </c>
      <c r="H18" s="181">
        <v>5.05</v>
      </c>
      <c r="I18" s="156">
        <f t="shared" si="0"/>
        <v>8139.7389749999984</v>
      </c>
      <c r="J18" s="150">
        <v>0.2495</v>
      </c>
      <c r="K18" s="156">
        <f t="shared" si="1"/>
        <v>6.3099749999999997</v>
      </c>
      <c r="L18" s="156">
        <f t="shared" si="2"/>
        <v>10170.603849262498</v>
      </c>
      <c r="M18" s="151">
        <f t="shared" si="3"/>
        <v>5.1698854448172966E-2</v>
      </c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</row>
    <row r="19" spans="1:64" s="133" customFormat="1" ht="51" x14ac:dyDescent="0.25">
      <c r="A19" s="143" t="s">
        <v>40</v>
      </c>
      <c r="B19" s="152" t="s">
        <v>17</v>
      </c>
      <c r="C19" s="153" t="s">
        <v>46</v>
      </c>
      <c r="D19" s="154" t="s">
        <v>47</v>
      </c>
      <c r="E19" s="152" t="s">
        <v>43</v>
      </c>
      <c r="F19" s="155">
        <f>F18*1.1</f>
        <v>1773.0124499999999</v>
      </c>
      <c r="G19" s="148" t="s">
        <v>48</v>
      </c>
      <c r="H19" s="181">
        <v>16.23</v>
      </c>
      <c r="I19" s="156">
        <f t="shared" si="0"/>
        <v>28775.992063499998</v>
      </c>
      <c r="J19" s="150">
        <v>0.2495</v>
      </c>
      <c r="K19" s="156">
        <f t="shared" si="1"/>
        <v>20.279385000000001</v>
      </c>
      <c r="L19" s="156">
        <f t="shared" si="2"/>
        <v>35955.602083343249</v>
      </c>
      <c r="M19" s="151">
        <f t="shared" si="3"/>
        <v>0.18276824722044202</v>
      </c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</row>
    <row r="20" spans="1:64" ht="25.5" x14ac:dyDescent="0.25">
      <c r="A20" s="143" t="s">
        <v>45</v>
      </c>
      <c r="B20" s="152" t="s">
        <v>17</v>
      </c>
      <c r="C20" s="153" t="s">
        <v>50</v>
      </c>
      <c r="D20" s="154" t="s">
        <v>51</v>
      </c>
      <c r="E20" s="152" t="s">
        <v>43</v>
      </c>
      <c r="F20" s="155">
        <f>(41.13+28.42)*0.8</f>
        <v>55.640000000000015</v>
      </c>
      <c r="G20" s="148" t="s">
        <v>52</v>
      </c>
      <c r="H20" s="181">
        <v>33.03</v>
      </c>
      <c r="I20" s="156">
        <f t="shared" si="0"/>
        <v>1837.7892000000006</v>
      </c>
      <c r="J20" s="150">
        <v>0.2495</v>
      </c>
      <c r="K20" s="156">
        <f t="shared" si="1"/>
        <v>41.270985000000003</v>
      </c>
      <c r="L20" s="156">
        <f t="shared" si="2"/>
        <v>2296.317605400001</v>
      </c>
      <c r="M20" s="151">
        <f t="shared" si="3"/>
        <v>1.1672560588126759E-2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1" spans="1:64" ht="38.25" x14ac:dyDescent="0.25">
      <c r="A21" s="143" t="s">
        <v>49</v>
      </c>
      <c r="B21" s="152" t="s">
        <v>17</v>
      </c>
      <c r="C21" s="153" t="s">
        <v>54</v>
      </c>
      <c r="D21" s="154" t="s">
        <v>55</v>
      </c>
      <c r="E21" s="152" t="s">
        <v>20</v>
      </c>
      <c r="F21" s="155">
        <f>(204.6+397.4)</f>
        <v>602</v>
      </c>
      <c r="G21" s="148" t="s">
        <v>21</v>
      </c>
      <c r="H21" s="181">
        <v>2.98</v>
      </c>
      <c r="I21" s="156">
        <f t="shared" si="0"/>
        <v>1793.96</v>
      </c>
      <c r="J21" s="150">
        <v>0.2495</v>
      </c>
      <c r="K21" s="156">
        <f t="shared" si="1"/>
        <v>3.7235100000000001</v>
      </c>
      <c r="L21" s="156">
        <f t="shared" si="2"/>
        <v>2241.5530199999998</v>
      </c>
      <c r="M21" s="151">
        <f t="shared" si="3"/>
        <v>1.1394183180897934E-2</v>
      </c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64" s="133" customFormat="1" ht="38.25" x14ac:dyDescent="0.25">
      <c r="A22" s="143" t="s">
        <v>53</v>
      </c>
      <c r="B22" s="152" t="s">
        <v>17</v>
      </c>
      <c r="C22" s="153" t="s">
        <v>56</v>
      </c>
      <c r="D22" s="154" t="s">
        <v>57</v>
      </c>
      <c r="E22" s="152" t="s">
        <v>58</v>
      </c>
      <c r="F22" s="155">
        <f>F18*3</f>
        <v>4835.4884999999995</v>
      </c>
      <c r="G22" s="157" t="s">
        <v>59</v>
      </c>
      <c r="H22" s="181">
        <v>2.88</v>
      </c>
      <c r="I22" s="156">
        <f t="shared" si="0"/>
        <v>13926.206879999998</v>
      </c>
      <c r="J22" s="150">
        <v>0.2495</v>
      </c>
      <c r="K22" s="156">
        <f t="shared" si="1"/>
        <v>3.59856</v>
      </c>
      <c r="L22" s="156">
        <f t="shared" si="2"/>
        <v>17400.795496559997</v>
      </c>
      <c r="M22" s="151">
        <f t="shared" si="3"/>
        <v>8.8451109392517713E-2</v>
      </c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</row>
    <row r="23" spans="1:64" ht="15" x14ac:dyDescent="0.25">
      <c r="A23" s="227" t="s">
        <v>60</v>
      </c>
      <c r="B23" s="227"/>
      <c r="C23" s="227"/>
      <c r="D23" s="227"/>
      <c r="E23" s="227"/>
      <c r="F23" s="227"/>
      <c r="G23" s="227"/>
      <c r="H23" s="227"/>
      <c r="I23" s="158">
        <f>SUM(I14:I22)</f>
        <v>64676.163788499987</v>
      </c>
      <c r="J23" s="159"/>
      <c r="K23" s="158"/>
      <c r="L23" s="158">
        <f>SUM(L14:L22)</f>
        <v>80812.866653730744</v>
      </c>
      <c r="M23" s="159">
        <f>L23/M49</f>
        <v>0.41078511095226578</v>
      </c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</row>
    <row r="24" spans="1:64" x14ac:dyDescent="0.25">
      <c r="A24" s="142">
        <v>2</v>
      </c>
      <c r="B24" s="222" t="s">
        <v>61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</row>
    <row r="25" spans="1:64" x14ac:dyDescent="0.25">
      <c r="A25" s="160" t="s">
        <v>62</v>
      </c>
      <c r="B25" s="228" t="s">
        <v>63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</row>
    <row r="26" spans="1:64" ht="25.5" x14ac:dyDescent="0.25">
      <c r="A26" s="143" t="s">
        <v>64</v>
      </c>
      <c r="B26" s="144" t="s">
        <v>17</v>
      </c>
      <c r="C26" s="145" t="s">
        <v>65</v>
      </c>
      <c r="D26" s="146" t="s">
        <v>66</v>
      </c>
      <c r="E26" s="144" t="s">
        <v>43</v>
      </c>
      <c r="F26" s="147">
        <f>(204.6+397.4)*0.02</f>
        <v>12.040000000000001</v>
      </c>
      <c r="G26" s="148" t="s">
        <v>67</v>
      </c>
      <c r="H26" s="169">
        <v>149.6</v>
      </c>
      <c r="I26" s="149">
        <f>H26*F26</f>
        <v>1801.184</v>
      </c>
      <c r="J26" s="150">
        <v>0.2495</v>
      </c>
      <c r="K26" s="149">
        <f>H26+(H26*J26)</f>
        <v>186.92519999999999</v>
      </c>
      <c r="L26" s="149">
        <f>K26*F26</f>
        <v>2250.5794080000001</v>
      </c>
      <c r="M26" s="151">
        <f>L26/$M$49</f>
        <v>1.1440065797733765E-2</v>
      </c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</row>
    <row r="27" spans="1:64" s="133" customFormat="1" ht="38.25" x14ac:dyDescent="0.25">
      <c r="A27" s="143" t="s">
        <v>68</v>
      </c>
      <c r="B27" s="144" t="s">
        <v>17</v>
      </c>
      <c r="C27" s="161" t="s">
        <v>229</v>
      </c>
      <c r="D27" s="162" t="s">
        <v>69</v>
      </c>
      <c r="E27" s="144" t="s">
        <v>43</v>
      </c>
      <c r="F27" s="163">
        <f>(204.6+397.4)*0.06</f>
        <v>36.119999999999997</v>
      </c>
      <c r="G27" s="148" t="s">
        <v>70</v>
      </c>
      <c r="H27" s="182">
        <v>499.01</v>
      </c>
      <c r="I27" s="164">
        <f>H27*F27</f>
        <v>18024.241199999997</v>
      </c>
      <c r="J27" s="150">
        <v>0.2495</v>
      </c>
      <c r="K27" s="164">
        <f>H27+(H27*J27)</f>
        <v>623.51299500000005</v>
      </c>
      <c r="L27" s="164">
        <f>K27*F27</f>
        <v>22521.289379400001</v>
      </c>
      <c r="M27" s="151">
        <f>L27/$M$49</f>
        <v>0.11447942313623917</v>
      </c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</row>
    <row r="28" spans="1:64" ht="38.25" x14ac:dyDescent="0.25">
      <c r="A28" s="143" t="s">
        <v>71</v>
      </c>
      <c r="B28" s="144" t="s">
        <v>17</v>
      </c>
      <c r="C28" s="161" t="s">
        <v>230</v>
      </c>
      <c r="D28" s="162" t="s">
        <v>72</v>
      </c>
      <c r="E28" s="165" t="s">
        <v>20</v>
      </c>
      <c r="F28" s="163">
        <f>F14</f>
        <v>602</v>
      </c>
      <c r="G28" s="148" t="s">
        <v>21</v>
      </c>
      <c r="H28" s="182">
        <v>11.25</v>
      </c>
      <c r="I28" s="164">
        <f>H28*F28</f>
        <v>6772.5</v>
      </c>
      <c r="J28" s="150">
        <v>0.2495</v>
      </c>
      <c r="K28" s="164">
        <f>H28+(H28*J28)</f>
        <v>14.056875</v>
      </c>
      <c r="L28" s="164">
        <f>K28*F28</f>
        <v>8462.2387500000004</v>
      </c>
      <c r="M28" s="151">
        <f>L28/$M$49</f>
        <v>4.3014953283591201E-2</v>
      </c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</row>
    <row r="29" spans="1:64" s="133" customFormat="1" ht="25.5" x14ac:dyDescent="0.25">
      <c r="A29" s="143" t="s">
        <v>73</v>
      </c>
      <c r="B29" s="144" t="s">
        <v>17</v>
      </c>
      <c r="C29" s="161" t="s">
        <v>74</v>
      </c>
      <c r="D29" s="162" t="s">
        <v>75</v>
      </c>
      <c r="E29" s="165" t="s">
        <v>20</v>
      </c>
      <c r="F29" s="163">
        <f>F28</f>
        <v>602</v>
      </c>
      <c r="G29" s="148" t="s">
        <v>21</v>
      </c>
      <c r="H29" s="182">
        <v>26.98</v>
      </c>
      <c r="I29" s="164">
        <f>H29*F29</f>
        <v>16241.960000000001</v>
      </c>
      <c r="J29" s="150">
        <v>0.2495</v>
      </c>
      <c r="K29" s="164">
        <f>H29+(H29*J29)</f>
        <v>33.711510000000004</v>
      </c>
      <c r="L29" s="164">
        <f>K29*F29</f>
        <v>20294.329020000001</v>
      </c>
      <c r="M29" s="151">
        <f>L29/$M$49</f>
        <v>0.10315941685255917</v>
      </c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</row>
    <row r="30" spans="1:64" s="133" customFormat="1" ht="38.25" x14ac:dyDescent="0.25">
      <c r="A30" s="143" t="s">
        <v>76</v>
      </c>
      <c r="B30" s="165" t="s">
        <v>17</v>
      </c>
      <c r="C30" s="161" t="s">
        <v>77</v>
      </c>
      <c r="D30" s="162" t="s">
        <v>78</v>
      </c>
      <c r="E30" s="152" t="s">
        <v>20</v>
      </c>
      <c r="F30" s="163">
        <f>F28</f>
        <v>602</v>
      </c>
      <c r="G30" s="148" t="s">
        <v>21</v>
      </c>
      <c r="H30" s="182">
        <v>38.159999999999997</v>
      </c>
      <c r="I30" s="164">
        <f>H30*F30</f>
        <v>22972.32</v>
      </c>
      <c r="J30" s="150">
        <v>0.2495</v>
      </c>
      <c r="K30" s="164">
        <f>H30+(H30*J30)</f>
        <v>47.680919999999993</v>
      </c>
      <c r="L30" s="164">
        <f>K30*F30</f>
        <v>28703.913839999997</v>
      </c>
      <c r="M30" s="151">
        <f>L30/$M$49</f>
        <v>0.14590672153794132</v>
      </c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2"/>
    </row>
    <row r="31" spans="1:64" x14ac:dyDescent="0.25">
      <c r="A31" s="160" t="s">
        <v>79</v>
      </c>
      <c r="B31" s="228" t="s">
        <v>80</v>
      </c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64" ht="25.5" x14ac:dyDescent="0.25">
      <c r="A32" s="143" t="s">
        <v>81</v>
      </c>
      <c r="B32" s="165" t="s">
        <v>17</v>
      </c>
      <c r="C32" s="153" t="s">
        <v>82</v>
      </c>
      <c r="D32" s="154" t="s">
        <v>83</v>
      </c>
      <c r="E32" s="152" t="s">
        <v>43</v>
      </c>
      <c r="F32" s="155">
        <f>(52.15+52.17+12.83+12.83)*1.15*0.1</f>
        <v>14.947699999999998</v>
      </c>
      <c r="G32" s="166" t="s">
        <v>84</v>
      </c>
      <c r="H32" s="182">
        <v>98.82</v>
      </c>
      <c r="I32" s="156">
        <f t="shared" ref="I32:I38" si="4">H32*F32</f>
        <v>1477.1317139999996</v>
      </c>
      <c r="J32" s="150">
        <v>0.2495</v>
      </c>
      <c r="K32" s="156">
        <f t="shared" ref="K32:K38" si="5">H32+(H32*J32)</f>
        <v>123.47558999999998</v>
      </c>
      <c r="L32" s="156">
        <f t="shared" ref="L32:L38" si="6">K32*F32</f>
        <v>1845.6760766429995</v>
      </c>
      <c r="M32" s="151">
        <f t="shared" ref="M32:M38" si="7">L32/$M$49</f>
        <v>9.3818754775077118E-3</v>
      </c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64" ht="25.5" x14ac:dyDescent="0.25">
      <c r="A33" s="143" t="s">
        <v>85</v>
      </c>
      <c r="B33" s="152" t="s">
        <v>17</v>
      </c>
      <c r="C33" s="153" t="s">
        <v>86</v>
      </c>
      <c r="D33" s="154" t="s">
        <v>87</v>
      </c>
      <c r="E33" s="152" t="s">
        <v>20</v>
      </c>
      <c r="F33" s="155">
        <f>(52.15+52.17+12.83+12.83)*1.15</f>
        <v>149.47699999999998</v>
      </c>
      <c r="G33" s="157" t="s">
        <v>88</v>
      </c>
      <c r="H33" s="181">
        <v>1.69</v>
      </c>
      <c r="I33" s="156">
        <f t="shared" si="4"/>
        <v>252.61612999999994</v>
      </c>
      <c r="J33" s="150">
        <v>0.2495</v>
      </c>
      <c r="K33" s="156">
        <f t="shared" si="5"/>
        <v>2.1116549999999998</v>
      </c>
      <c r="L33" s="156">
        <f t="shared" si="6"/>
        <v>315.64385443499992</v>
      </c>
      <c r="M33" s="151">
        <f t="shared" si="7"/>
        <v>1.6044696981368177E-3</v>
      </c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</row>
    <row r="34" spans="1:64" ht="25.5" x14ac:dyDescent="0.25">
      <c r="A34" s="143" t="s">
        <v>89</v>
      </c>
      <c r="B34" s="152" t="s">
        <v>17</v>
      </c>
      <c r="C34" s="153" t="s">
        <v>74</v>
      </c>
      <c r="D34" s="154" t="s">
        <v>75</v>
      </c>
      <c r="E34" s="152" t="s">
        <v>20</v>
      </c>
      <c r="F34" s="155">
        <f>F33</f>
        <v>149.47699999999998</v>
      </c>
      <c r="G34" s="157" t="s">
        <v>88</v>
      </c>
      <c r="H34" s="181">
        <v>26.98</v>
      </c>
      <c r="I34" s="156">
        <f t="shared" si="4"/>
        <v>4032.8894599999994</v>
      </c>
      <c r="J34" s="150">
        <v>0.2495</v>
      </c>
      <c r="K34" s="156">
        <f t="shared" si="5"/>
        <v>33.711510000000004</v>
      </c>
      <c r="L34" s="156">
        <f t="shared" si="6"/>
        <v>5039.0953802699996</v>
      </c>
      <c r="M34" s="151">
        <f t="shared" si="7"/>
        <v>2.5614551748953461E-2</v>
      </c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</row>
    <row r="35" spans="1:64" ht="51" x14ac:dyDescent="0.25">
      <c r="A35" s="143" t="s">
        <v>90</v>
      </c>
      <c r="B35" s="152" t="s">
        <v>17</v>
      </c>
      <c r="C35" s="153" t="s">
        <v>91</v>
      </c>
      <c r="D35" s="154" t="s">
        <v>92</v>
      </c>
      <c r="E35" s="152" t="s">
        <v>20</v>
      </c>
      <c r="F35" s="155">
        <f>F34</f>
        <v>149.47699999999998</v>
      </c>
      <c r="G35" s="157" t="s">
        <v>88</v>
      </c>
      <c r="H35" s="181">
        <v>11.54</v>
      </c>
      <c r="I35" s="156">
        <f t="shared" si="4"/>
        <v>1724.9645799999996</v>
      </c>
      <c r="J35" s="150">
        <v>0.2495</v>
      </c>
      <c r="K35" s="156">
        <f t="shared" si="5"/>
        <v>14.419229999999999</v>
      </c>
      <c r="L35" s="156">
        <f t="shared" si="6"/>
        <v>2155.3432427099997</v>
      </c>
      <c r="M35" s="151">
        <f t="shared" si="7"/>
        <v>1.0955964684318864E-2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</row>
    <row r="36" spans="1:64" ht="25.5" x14ac:dyDescent="0.25">
      <c r="A36" s="143" t="s">
        <v>93</v>
      </c>
      <c r="B36" s="152" t="s">
        <v>17</v>
      </c>
      <c r="C36" s="153" t="s">
        <v>209</v>
      </c>
      <c r="D36" s="154" t="s">
        <v>94</v>
      </c>
      <c r="E36" s="152" t="s">
        <v>95</v>
      </c>
      <c r="F36" s="167">
        <f>F35/17</f>
        <v>8.7927647058823517</v>
      </c>
      <c r="G36" s="157" t="s">
        <v>96</v>
      </c>
      <c r="H36" s="181">
        <v>3.02</v>
      </c>
      <c r="I36" s="156">
        <f t="shared" si="4"/>
        <v>26.554149411764701</v>
      </c>
      <c r="J36" s="150">
        <v>0.2495</v>
      </c>
      <c r="K36" s="156">
        <f t="shared" si="5"/>
        <v>3.7734899999999998</v>
      </c>
      <c r="L36" s="156">
        <f t="shared" si="6"/>
        <v>33.179409689999993</v>
      </c>
      <c r="M36" s="151">
        <f t="shared" si="7"/>
        <v>1.6865640405058091E-4</v>
      </c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</row>
    <row r="37" spans="1:64" ht="38.25" x14ac:dyDescent="0.25">
      <c r="A37" s="143" t="s">
        <v>97</v>
      </c>
      <c r="B37" s="152" t="s">
        <v>17</v>
      </c>
      <c r="C37" s="153" t="s">
        <v>98</v>
      </c>
      <c r="D37" s="154" t="s">
        <v>99</v>
      </c>
      <c r="E37" s="152" t="s">
        <v>20</v>
      </c>
      <c r="F37" s="155">
        <f>F35</f>
        <v>149.47699999999998</v>
      </c>
      <c r="G37" s="157" t="s">
        <v>88</v>
      </c>
      <c r="H37" s="181">
        <v>21.3</v>
      </c>
      <c r="I37" s="156">
        <f t="shared" si="4"/>
        <v>3183.8600999999994</v>
      </c>
      <c r="J37" s="150">
        <v>0.2495</v>
      </c>
      <c r="K37" s="156">
        <f t="shared" si="5"/>
        <v>26.614350000000002</v>
      </c>
      <c r="L37" s="156">
        <f t="shared" si="6"/>
        <v>3978.2331949499994</v>
      </c>
      <c r="M37" s="151">
        <f t="shared" si="7"/>
        <v>2.0222014538647467E-2</v>
      </c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</row>
    <row r="38" spans="1:64" ht="51" x14ac:dyDescent="0.25">
      <c r="A38" s="143" t="s">
        <v>93</v>
      </c>
      <c r="B38" s="152" t="s">
        <v>17</v>
      </c>
      <c r="C38" s="153" t="s">
        <v>100</v>
      </c>
      <c r="D38" s="154" t="s">
        <v>101</v>
      </c>
      <c r="E38" s="152" t="s">
        <v>20</v>
      </c>
      <c r="F38" s="155">
        <f>F35</f>
        <v>149.47699999999998</v>
      </c>
      <c r="G38" s="157" t="s">
        <v>102</v>
      </c>
      <c r="H38" s="181">
        <v>42.33</v>
      </c>
      <c r="I38" s="156">
        <f t="shared" si="4"/>
        <v>6327.3614099999986</v>
      </c>
      <c r="J38" s="150">
        <v>0.2495</v>
      </c>
      <c r="K38" s="156">
        <f t="shared" si="5"/>
        <v>52.891334999999998</v>
      </c>
      <c r="L38" s="156">
        <f t="shared" si="6"/>
        <v>7906.0380817949981</v>
      </c>
      <c r="M38" s="151">
        <f t="shared" si="7"/>
        <v>4.0187693681734617E-2</v>
      </c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64" ht="15" x14ac:dyDescent="0.25">
      <c r="A39" s="227" t="s">
        <v>60</v>
      </c>
      <c r="B39" s="227"/>
      <c r="C39" s="227"/>
      <c r="D39" s="227"/>
      <c r="E39" s="227"/>
      <c r="F39" s="227"/>
      <c r="G39" s="227"/>
      <c r="H39" s="227"/>
      <c r="I39" s="158">
        <f>SUM(I26:I38)</f>
        <v>82837.582743411767</v>
      </c>
      <c r="J39" s="159"/>
      <c r="K39" s="158"/>
      <c r="L39" s="158">
        <f>SUM(L26:L38)</f>
        <v>103505.55963789298</v>
      </c>
      <c r="M39" s="159">
        <f>L39/M49</f>
        <v>0.52613580684141403</v>
      </c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</row>
    <row r="40" spans="1:64" x14ac:dyDescent="0.25">
      <c r="A40" s="142">
        <v>3</v>
      </c>
      <c r="B40" s="222" t="s">
        <v>103</v>
      </c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64" ht="25.5" x14ac:dyDescent="0.25">
      <c r="A41" s="143" t="s">
        <v>104</v>
      </c>
      <c r="B41" s="152" t="s">
        <v>17</v>
      </c>
      <c r="C41" s="153" t="s">
        <v>105</v>
      </c>
      <c r="D41" s="154" t="s">
        <v>106</v>
      </c>
      <c r="E41" s="152" t="s">
        <v>107</v>
      </c>
      <c r="F41" s="155">
        <f>13.65+52.15</f>
        <v>65.8</v>
      </c>
      <c r="G41" s="157" t="s">
        <v>108</v>
      </c>
      <c r="H41" s="181">
        <v>43.83</v>
      </c>
      <c r="I41" s="156">
        <f>H41*F41</f>
        <v>2884.0139999999997</v>
      </c>
      <c r="J41" s="150">
        <v>0.2495</v>
      </c>
      <c r="K41" s="156">
        <f>H41+(H41*J41)</f>
        <v>54.765585000000002</v>
      </c>
      <c r="L41" s="156">
        <f>K41*F41</f>
        <v>3603.5754929999998</v>
      </c>
      <c r="M41" s="168">
        <f t="shared" ref="M41:M46" si="8">L41/$M$49</f>
        <v>1.8317567734104537E-2</v>
      </c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64" ht="38.25" x14ac:dyDescent="0.25">
      <c r="A42" s="143" t="s">
        <v>109</v>
      </c>
      <c r="B42" s="152" t="s">
        <v>17</v>
      </c>
      <c r="C42" s="153" t="s">
        <v>110</v>
      </c>
      <c r="D42" s="154" t="s">
        <v>111</v>
      </c>
      <c r="E42" s="152" t="s">
        <v>20</v>
      </c>
      <c r="F42" s="155">
        <f>(2*3.14* 0.2*(13.65+52.15)) + (2*3.14*0.2*0.2)</f>
        <v>82.896000000000015</v>
      </c>
      <c r="G42" s="157" t="s">
        <v>112</v>
      </c>
      <c r="H42" s="181">
        <v>50.83</v>
      </c>
      <c r="I42" s="156">
        <f>H42*F42</f>
        <v>4213.6036800000002</v>
      </c>
      <c r="J42" s="150">
        <v>0.2495</v>
      </c>
      <c r="K42" s="156">
        <f>H42+(H42*J42)</f>
        <v>63.512084999999999</v>
      </c>
      <c r="L42" s="156">
        <f>K42*F42</f>
        <v>5264.897798160001</v>
      </c>
      <c r="M42" s="168">
        <f t="shared" si="8"/>
        <v>2.6762342628389515E-2</v>
      </c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</row>
    <row r="43" spans="1:64" ht="51" x14ac:dyDescent="0.25">
      <c r="A43" s="143" t="s">
        <v>113</v>
      </c>
      <c r="B43" s="152" t="s">
        <v>17</v>
      </c>
      <c r="C43" s="153" t="s">
        <v>114</v>
      </c>
      <c r="D43" s="154" t="s">
        <v>115</v>
      </c>
      <c r="E43" s="152" t="s">
        <v>116</v>
      </c>
      <c r="F43" s="155">
        <v>1</v>
      </c>
      <c r="G43" s="157" t="s">
        <v>117</v>
      </c>
      <c r="H43" s="181">
        <v>270.94</v>
      </c>
      <c r="I43" s="156">
        <f>H43*F43</f>
        <v>270.94</v>
      </c>
      <c r="J43" s="150">
        <v>0.2495</v>
      </c>
      <c r="K43" s="156">
        <f>H43+(H43*J43)</f>
        <v>338.53953000000001</v>
      </c>
      <c r="L43" s="156">
        <f>K43*F43</f>
        <v>338.53953000000001</v>
      </c>
      <c r="M43" s="168">
        <f t="shared" si="8"/>
        <v>1.7208521879152751E-3</v>
      </c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64" ht="25.5" x14ac:dyDescent="0.25">
      <c r="A44" s="143" t="s">
        <v>118</v>
      </c>
      <c r="B44" s="152" t="s">
        <v>17</v>
      </c>
      <c r="C44" s="153" t="s">
        <v>231</v>
      </c>
      <c r="D44" s="154" t="s">
        <v>119</v>
      </c>
      <c r="E44" s="152" t="s">
        <v>116</v>
      </c>
      <c r="F44" s="155">
        <v>1</v>
      </c>
      <c r="G44" s="157" t="s">
        <v>117</v>
      </c>
      <c r="H44" s="181">
        <v>326.41000000000003</v>
      </c>
      <c r="I44" s="156">
        <f>H44*F44</f>
        <v>326.41000000000003</v>
      </c>
      <c r="J44" s="150">
        <v>0.2495</v>
      </c>
      <c r="K44" s="156">
        <f>H44+(H44*J44)</f>
        <v>407.84929500000004</v>
      </c>
      <c r="L44" s="156">
        <f>K44*F44</f>
        <v>407.84929500000004</v>
      </c>
      <c r="M44" s="168">
        <f t="shared" si="8"/>
        <v>2.0731651386189744E-3</v>
      </c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64" ht="25.5" x14ac:dyDescent="0.25">
      <c r="A45" s="143" t="s">
        <v>113</v>
      </c>
      <c r="B45" s="152" t="s">
        <v>17</v>
      </c>
      <c r="C45" s="153" t="s">
        <v>74</v>
      </c>
      <c r="D45" s="154" t="s">
        <v>120</v>
      </c>
      <c r="E45" s="152" t="s">
        <v>20</v>
      </c>
      <c r="F45" s="155">
        <f>F42</f>
        <v>82.896000000000015</v>
      </c>
      <c r="G45" s="157" t="s">
        <v>112</v>
      </c>
      <c r="H45" s="181">
        <v>26.98</v>
      </c>
      <c r="I45" s="156">
        <f>H45*F45</f>
        <v>2236.5340800000004</v>
      </c>
      <c r="J45" s="150">
        <v>0.2495</v>
      </c>
      <c r="K45" s="156">
        <f>H45+(H45*J45)</f>
        <v>33.711510000000004</v>
      </c>
      <c r="L45" s="156">
        <f>K45*F45</f>
        <v>2794.5493329600008</v>
      </c>
      <c r="M45" s="168">
        <f t="shared" si="8"/>
        <v>1.4205154517291938E-2</v>
      </c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64" ht="15" x14ac:dyDescent="0.25">
      <c r="A46" s="223" t="s">
        <v>60</v>
      </c>
      <c r="B46" s="223"/>
      <c r="C46" s="223"/>
      <c r="D46" s="223"/>
      <c r="E46" s="223"/>
      <c r="F46" s="223"/>
      <c r="G46" s="223"/>
      <c r="H46" s="223"/>
      <c r="I46" s="18">
        <f>SUM(I41:I45)</f>
        <v>9931.5017599999992</v>
      </c>
      <c r="J46" s="19"/>
      <c r="K46" s="18"/>
      <c r="L46" s="18">
        <f>SUM(L41:L45)</f>
        <v>12409.411449120002</v>
      </c>
      <c r="M46" s="19">
        <f t="shared" si="8"/>
        <v>6.3079082206320233E-2</v>
      </c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</row>
    <row r="47" spans="1:64" ht="18.75" x14ac:dyDescent="0.25">
      <c r="A47" s="224" t="s">
        <v>121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4">
        <f>I46+I39+I23</f>
        <v>157445.24829191176</v>
      </c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</row>
    <row r="48" spans="1:64" ht="18.75" x14ac:dyDescent="0.25">
      <c r="A48" s="225" t="s">
        <v>122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5">
        <f>(L46+L39+L23)-(I46+I39+I23)</f>
        <v>39282.589448831946</v>
      </c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</row>
    <row r="49" spans="1:64" ht="17.45" customHeight="1" x14ac:dyDescent="0.25">
      <c r="A49" s="226" t="s">
        <v>123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6">
        <f>M47+M48</f>
        <v>196727.83774074371</v>
      </c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</row>
    <row r="50" spans="1:64" ht="81.599999999999994" customHeight="1" x14ac:dyDescent="0.25">
      <c r="A50" s="220" t="s">
        <v>124</v>
      </c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</row>
    <row r="51" spans="1:64" x14ac:dyDescent="0.25">
      <c r="A51" s="221"/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</row>
  </sheetData>
  <mergeCells count="17">
    <mergeCell ref="A1:C4"/>
    <mergeCell ref="D1:M4"/>
    <mergeCell ref="A5:M10"/>
    <mergeCell ref="A11:M11"/>
    <mergeCell ref="B13:M13"/>
    <mergeCell ref="A23:H23"/>
    <mergeCell ref="B24:M24"/>
    <mergeCell ref="B25:M25"/>
    <mergeCell ref="B31:M31"/>
    <mergeCell ref="A39:H39"/>
    <mergeCell ref="A50:M50"/>
    <mergeCell ref="A51:M51"/>
    <mergeCell ref="B40:M40"/>
    <mergeCell ref="A46:H46"/>
    <mergeCell ref="A47:L47"/>
    <mergeCell ref="A48:L48"/>
    <mergeCell ref="A49:L49"/>
  </mergeCells>
  <phoneticPr fontId="29" type="noConversion"/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N32"/>
  <sheetViews>
    <sheetView showGridLines="0" zoomScale="70" zoomScaleNormal="70" workbookViewId="0">
      <selection activeCell="E24" sqref="E24"/>
    </sheetView>
  </sheetViews>
  <sheetFormatPr defaultColWidth="8.7109375" defaultRowHeight="15" x14ac:dyDescent="0.25"/>
  <cols>
    <col min="5" max="5" width="41.140625" customWidth="1"/>
    <col min="6" max="6" width="10.5703125" customWidth="1"/>
    <col min="7" max="8" width="10.140625" customWidth="1"/>
    <col min="9" max="12" width="10.28515625" customWidth="1"/>
    <col min="13" max="13" width="11.28515625" customWidth="1"/>
    <col min="14" max="14" width="15.28515625" customWidth="1"/>
    <col min="1013" max="1024" width="11.5703125" customWidth="1"/>
  </cols>
  <sheetData>
    <row r="3" spans="3:14" ht="34.9" customHeight="1" x14ac:dyDescent="0.25">
      <c r="C3" s="248"/>
      <c r="D3" s="249" t="s">
        <v>125</v>
      </c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3:14" x14ac:dyDescent="0.25">
      <c r="C4" s="248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</row>
    <row r="5" spans="3:14" ht="15.75" customHeight="1" x14ac:dyDescent="0.25">
      <c r="C5" s="27"/>
      <c r="D5" s="250"/>
      <c r="E5" s="250"/>
      <c r="F5" s="251" t="s">
        <v>126</v>
      </c>
      <c r="G5" s="251"/>
      <c r="H5" s="251"/>
      <c r="I5" s="251"/>
      <c r="J5" s="252" t="s">
        <v>127</v>
      </c>
      <c r="K5" s="252"/>
      <c r="L5" s="252"/>
      <c r="M5" s="252"/>
      <c r="N5" s="253" t="s">
        <v>128</v>
      </c>
    </row>
    <row r="6" spans="3:14" x14ac:dyDescent="0.25">
      <c r="C6" s="27"/>
      <c r="D6" s="250"/>
      <c r="E6" s="250"/>
      <c r="F6" s="28" t="s">
        <v>129</v>
      </c>
      <c r="G6" s="29" t="s">
        <v>130</v>
      </c>
      <c r="H6" s="29" t="s">
        <v>131</v>
      </c>
      <c r="I6" s="30" t="s">
        <v>132</v>
      </c>
      <c r="J6" s="31" t="s">
        <v>129</v>
      </c>
      <c r="K6" s="29" t="s">
        <v>130</v>
      </c>
      <c r="L6" s="29" t="s">
        <v>131</v>
      </c>
      <c r="M6" s="32" t="s">
        <v>132</v>
      </c>
      <c r="N6" s="253"/>
    </row>
    <row r="7" spans="3:14" ht="15.75" x14ac:dyDescent="0.25">
      <c r="C7" s="27"/>
      <c r="D7" s="33" t="s">
        <v>2</v>
      </c>
      <c r="E7" s="34" t="s">
        <v>133</v>
      </c>
      <c r="F7" s="35"/>
      <c r="G7" s="36"/>
      <c r="H7" s="36"/>
      <c r="I7" s="37"/>
      <c r="J7" s="38"/>
      <c r="K7" s="38"/>
      <c r="L7" s="39"/>
      <c r="M7" s="39"/>
      <c r="N7" s="253"/>
    </row>
    <row r="8" spans="3:14" x14ac:dyDescent="0.25">
      <c r="C8" s="40"/>
      <c r="D8" s="41"/>
      <c r="E8" s="42"/>
      <c r="F8" s="43"/>
      <c r="G8" s="44"/>
      <c r="H8" s="44"/>
      <c r="I8" s="45"/>
      <c r="J8" s="46"/>
      <c r="K8" s="46"/>
      <c r="L8" s="47"/>
      <c r="M8" s="47"/>
      <c r="N8" s="253"/>
    </row>
    <row r="9" spans="3:14" ht="15" customHeight="1" x14ac:dyDescent="0.25">
      <c r="C9" s="241"/>
      <c r="D9" s="242">
        <v>1</v>
      </c>
      <c r="E9" s="243" t="s">
        <v>134</v>
      </c>
      <c r="F9" s="48">
        <v>0.45</v>
      </c>
      <c r="G9" s="49">
        <v>0.45</v>
      </c>
      <c r="H9" s="49">
        <v>0.1</v>
      </c>
      <c r="I9" s="50">
        <v>0</v>
      </c>
      <c r="J9" s="51">
        <v>0</v>
      </c>
      <c r="K9" s="49">
        <v>0</v>
      </c>
      <c r="L9" s="49">
        <v>0</v>
      </c>
      <c r="M9" s="52">
        <v>0</v>
      </c>
      <c r="N9" s="53">
        <f>SUM(F9:M9)</f>
        <v>1</v>
      </c>
    </row>
    <row r="10" spans="3:14" x14ac:dyDescent="0.25">
      <c r="C10" s="241"/>
      <c r="D10" s="242"/>
      <c r="E10" s="243"/>
      <c r="F10" s="54"/>
      <c r="G10" s="55"/>
      <c r="H10" s="56"/>
      <c r="I10" s="57"/>
      <c r="J10" s="58"/>
      <c r="K10" s="56"/>
      <c r="L10" s="56"/>
      <c r="M10" s="59"/>
      <c r="N10" s="60"/>
    </row>
    <row r="11" spans="3:14" x14ac:dyDescent="0.25">
      <c r="C11" s="241"/>
      <c r="D11" s="242"/>
      <c r="E11" s="243"/>
      <c r="F11" s="61">
        <f t="shared" ref="F11:M11" si="0">F9*$N$11</f>
        <v>36365.789994178835</v>
      </c>
      <c r="G11" s="62">
        <f t="shared" si="0"/>
        <v>36365.789994178835</v>
      </c>
      <c r="H11" s="62">
        <f t="shared" si="0"/>
        <v>8081.2866653730744</v>
      </c>
      <c r="I11" s="63">
        <f t="shared" si="0"/>
        <v>0</v>
      </c>
      <c r="J11" s="64">
        <f t="shared" si="0"/>
        <v>0</v>
      </c>
      <c r="K11" s="62">
        <f t="shared" si="0"/>
        <v>0</v>
      </c>
      <c r="L11" s="62">
        <f t="shared" si="0"/>
        <v>0</v>
      </c>
      <c r="M11" s="65">
        <f t="shared" si="0"/>
        <v>0</v>
      </c>
      <c r="N11" s="66">
        <f>'PLANILHA ORÇAMENTÁRIA'!L23</f>
        <v>80812.866653730744</v>
      </c>
    </row>
    <row r="12" spans="3:14" x14ac:dyDescent="0.25">
      <c r="C12" s="241"/>
      <c r="D12" s="244">
        <v>2</v>
      </c>
      <c r="E12" s="245" t="s">
        <v>61</v>
      </c>
      <c r="F12" s="67">
        <v>0</v>
      </c>
      <c r="G12" s="68">
        <v>0</v>
      </c>
      <c r="H12" s="68">
        <v>0.2</v>
      </c>
      <c r="I12" s="69">
        <v>0.2</v>
      </c>
      <c r="J12" s="67">
        <v>0.2</v>
      </c>
      <c r="K12" s="68">
        <v>0.1</v>
      </c>
      <c r="L12" s="68">
        <v>0.2</v>
      </c>
      <c r="M12" s="70">
        <v>0.1</v>
      </c>
      <c r="N12" s="53">
        <f>SUM(F12:M12)</f>
        <v>1.0000000000000002</v>
      </c>
    </row>
    <row r="13" spans="3:14" x14ac:dyDescent="0.25">
      <c r="C13" s="241"/>
      <c r="D13" s="244"/>
      <c r="E13" s="245"/>
      <c r="F13" s="58"/>
      <c r="G13" s="56"/>
      <c r="H13" s="55"/>
      <c r="I13" s="71"/>
      <c r="J13" s="72"/>
      <c r="K13" s="55"/>
      <c r="L13" s="55"/>
      <c r="M13" s="73"/>
      <c r="N13" s="60"/>
    </row>
    <row r="14" spans="3:14" x14ac:dyDescent="0.25">
      <c r="C14" s="241"/>
      <c r="D14" s="244"/>
      <c r="E14" s="245"/>
      <c r="F14" s="74">
        <f>F12*$N$14</f>
        <v>0</v>
      </c>
      <c r="G14" s="75">
        <f>G12*$N$14</f>
        <v>0</v>
      </c>
      <c r="H14" s="75">
        <f>$H$12*N$14</f>
        <v>20701.111927578597</v>
      </c>
      <c r="I14" s="76">
        <f>I12*$N$14</f>
        <v>20701.111927578597</v>
      </c>
      <c r="J14" s="74">
        <f>J12*$N$14</f>
        <v>20701.111927578597</v>
      </c>
      <c r="K14" s="75">
        <f>K12*$N$14</f>
        <v>10350.555963789298</v>
      </c>
      <c r="L14" s="75">
        <f>L12*$N$14</f>
        <v>20701.111927578597</v>
      </c>
      <c r="M14" s="77">
        <f>M12*$N$14</f>
        <v>10350.555963789298</v>
      </c>
      <c r="N14" s="66">
        <f>'PLANILHA ORÇAMENTÁRIA'!L39</f>
        <v>103505.55963789298</v>
      </c>
    </row>
    <row r="15" spans="3:14" x14ac:dyDescent="0.25">
      <c r="C15" s="241"/>
      <c r="D15" s="246">
        <v>3</v>
      </c>
      <c r="E15" s="247" t="s">
        <v>103</v>
      </c>
      <c r="F15" s="48">
        <v>0</v>
      </c>
      <c r="G15" s="49">
        <v>0</v>
      </c>
      <c r="H15" s="49">
        <v>0</v>
      </c>
      <c r="I15" s="50">
        <v>0</v>
      </c>
      <c r="J15" s="51">
        <v>0.3</v>
      </c>
      <c r="K15" s="49">
        <v>0.25</v>
      </c>
      <c r="L15" s="49">
        <v>0.3</v>
      </c>
      <c r="M15" s="52">
        <v>0.15</v>
      </c>
      <c r="N15" s="53">
        <f>SUM(F15:M15)</f>
        <v>1</v>
      </c>
    </row>
    <row r="16" spans="3:14" x14ac:dyDescent="0.25">
      <c r="C16" s="241"/>
      <c r="D16" s="246"/>
      <c r="E16" s="247"/>
      <c r="F16" s="78"/>
      <c r="G16" s="56"/>
      <c r="H16" s="56"/>
      <c r="I16" s="57"/>
      <c r="J16" s="58"/>
      <c r="K16" s="56"/>
      <c r="L16" s="56"/>
      <c r="M16" s="59"/>
      <c r="N16" s="79"/>
    </row>
    <row r="17" spans="3:14" x14ac:dyDescent="0.25">
      <c r="C17" s="241"/>
      <c r="D17" s="246"/>
      <c r="E17" s="247"/>
      <c r="F17" s="61">
        <f t="shared" ref="F17:M17" si="1">F15*$N$17</f>
        <v>0</v>
      </c>
      <c r="G17" s="62">
        <f t="shared" si="1"/>
        <v>0</v>
      </c>
      <c r="H17" s="62">
        <f t="shared" si="1"/>
        <v>0</v>
      </c>
      <c r="I17" s="63">
        <f t="shared" si="1"/>
        <v>0</v>
      </c>
      <c r="J17" s="64">
        <f t="shared" si="1"/>
        <v>3722.8234347360003</v>
      </c>
      <c r="K17" s="62">
        <f t="shared" si="1"/>
        <v>3102.3528622800004</v>
      </c>
      <c r="L17" s="62">
        <f t="shared" si="1"/>
        <v>3722.8234347360003</v>
      </c>
      <c r="M17" s="65">
        <f t="shared" si="1"/>
        <v>1861.4117173680002</v>
      </c>
      <c r="N17" s="66">
        <f>'PLANILHA ORÇAMENTÁRIA'!L46</f>
        <v>12409.411449120002</v>
      </c>
    </row>
    <row r="18" spans="3:14" x14ac:dyDescent="0.25">
      <c r="C18" s="80"/>
      <c r="D18" s="81" t="s">
        <v>135</v>
      </c>
      <c r="E18" s="82"/>
      <c r="F18" s="235">
        <f>I11+H11+G11+F11+F14+G14+H14+I14+I17+H17+G17+F17</f>
        <v>122215.09050888795</v>
      </c>
      <c r="G18" s="235"/>
      <c r="H18" s="235"/>
      <c r="I18" s="235"/>
      <c r="J18" s="236">
        <f>M11+L11+K11+J11+J14+K14+L14+M14+M17+L17+K17+J17</f>
        <v>74512.747231855785</v>
      </c>
      <c r="K18" s="236"/>
      <c r="L18" s="236"/>
      <c r="M18" s="236"/>
      <c r="N18" s="237">
        <f>N17+N14+N11- TAD!L20</f>
        <v>175999.93222074371</v>
      </c>
    </row>
    <row r="19" spans="3:14" x14ac:dyDescent="0.25">
      <c r="C19" s="83"/>
      <c r="D19" s="84" t="s">
        <v>136</v>
      </c>
      <c r="E19" s="85">
        <f>TAD!L22</f>
        <v>0.1053633576114231</v>
      </c>
      <c r="F19" s="238">
        <f>F18*E19</f>
        <v>12876.992286800401</v>
      </c>
      <c r="G19" s="238"/>
      <c r="H19" s="238"/>
      <c r="I19" s="238"/>
      <c r="J19" s="239">
        <f>J18*E19</f>
        <v>7850.9132331995979</v>
      </c>
      <c r="K19" s="239"/>
      <c r="L19" s="239"/>
      <c r="M19" s="239"/>
      <c r="N19" s="237"/>
    </row>
    <row r="20" spans="3:14" x14ac:dyDescent="0.25">
      <c r="C20" s="83"/>
      <c r="D20" s="86" t="s">
        <v>137</v>
      </c>
      <c r="E20" s="87"/>
      <c r="F20" s="240">
        <f>F18+F19</f>
        <v>135092.08279568836</v>
      </c>
      <c r="G20" s="240"/>
      <c r="H20" s="240"/>
      <c r="I20" s="240"/>
      <c r="J20" s="240">
        <f>F20+J18+J19</f>
        <v>217455.74326074374</v>
      </c>
      <c r="K20" s="240"/>
      <c r="L20" s="240"/>
      <c r="M20" s="240"/>
      <c r="N20" s="237"/>
    </row>
    <row r="21" spans="3:14" x14ac:dyDescent="0.25">
      <c r="C21" s="83"/>
      <c r="D21" s="88"/>
      <c r="E21" s="89"/>
      <c r="F21" s="88"/>
      <c r="G21" s="88"/>
      <c r="H21" s="88"/>
      <c r="I21" s="88"/>
      <c r="J21" s="88"/>
      <c r="K21" s="88"/>
      <c r="L21" s="88"/>
      <c r="M21" s="88"/>
      <c r="N21" s="60"/>
    </row>
    <row r="22" spans="3:14" x14ac:dyDescent="0.25">
      <c r="C22" s="83"/>
      <c r="D22" s="88"/>
      <c r="E22" s="89"/>
      <c r="F22" s="88"/>
      <c r="G22" s="88"/>
      <c r="H22" s="88"/>
      <c r="I22" s="88"/>
      <c r="J22" s="88"/>
      <c r="K22" s="88"/>
      <c r="L22" s="88"/>
      <c r="M22" s="88"/>
      <c r="N22" s="60"/>
    </row>
    <row r="23" spans="3:14" x14ac:dyDescent="0.25">
      <c r="C23" s="83"/>
      <c r="D23" s="88"/>
      <c r="E23" s="233" t="s">
        <v>222</v>
      </c>
      <c r="F23" s="233"/>
      <c r="G23" s="233"/>
      <c r="H23" s="233"/>
      <c r="I23" s="233"/>
      <c r="J23" s="90"/>
      <c r="K23" s="90"/>
      <c r="L23" s="90"/>
      <c r="M23" s="90"/>
      <c r="N23" s="60"/>
    </row>
    <row r="24" spans="3:14" x14ac:dyDescent="0.25">
      <c r="C24" s="83"/>
      <c r="D24" s="88"/>
      <c r="E24" s="91"/>
      <c r="F24" s="88"/>
      <c r="G24" s="88"/>
      <c r="H24" s="88"/>
      <c r="I24" s="88"/>
      <c r="J24" s="88"/>
      <c r="K24" s="88"/>
      <c r="L24" s="88"/>
      <c r="M24" s="88"/>
      <c r="N24" s="60"/>
    </row>
    <row r="25" spans="3:14" x14ac:dyDescent="0.25">
      <c r="C25" s="83"/>
      <c r="D25" s="88"/>
      <c r="E25" s="91"/>
      <c r="F25" s="88"/>
      <c r="G25" s="88"/>
      <c r="H25" s="88"/>
      <c r="I25" s="88"/>
      <c r="J25" s="88"/>
      <c r="K25" s="88"/>
      <c r="L25" s="88"/>
      <c r="M25" s="88"/>
      <c r="N25" s="60"/>
    </row>
    <row r="26" spans="3:14" x14ac:dyDescent="0.25">
      <c r="C26" s="83"/>
      <c r="D26" s="88"/>
      <c r="E26" s="91"/>
      <c r="F26" s="88"/>
      <c r="G26" s="88"/>
      <c r="H26" s="88"/>
      <c r="I26" s="88"/>
      <c r="J26" s="88"/>
      <c r="K26" s="88"/>
      <c r="L26" s="88"/>
      <c r="M26" s="88"/>
      <c r="N26" s="60"/>
    </row>
    <row r="27" spans="3:14" x14ac:dyDescent="0.25">
      <c r="C27" s="83"/>
      <c r="D27" s="88"/>
      <c r="E27" s="91"/>
      <c r="F27" s="88"/>
      <c r="G27" s="88"/>
      <c r="H27" s="88"/>
      <c r="I27" s="88"/>
      <c r="J27" s="88"/>
      <c r="K27" s="88"/>
      <c r="L27" s="88"/>
      <c r="M27" s="88"/>
      <c r="N27" s="60"/>
    </row>
    <row r="28" spans="3:14" x14ac:dyDescent="0.25">
      <c r="C28" s="83"/>
      <c r="D28" s="88"/>
      <c r="E28" s="234" t="s">
        <v>206</v>
      </c>
      <c r="F28" s="233"/>
      <c r="G28" s="233"/>
      <c r="H28" s="233"/>
      <c r="I28" s="233"/>
      <c r="J28" s="90"/>
      <c r="K28" s="90"/>
      <c r="L28" s="90"/>
      <c r="M28" s="90"/>
      <c r="N28" s="60"/>
    </row>
    <row r="29" spans="3:14" x14ac:dyDescent="0.25">
      <c r="C29" s="83"/>
      <c r="D29" s="88"/>
      <c r="E29" s="233"/>
      <c r="F29" s="233"/>
      <c r="G29" s="233"/>
      <c r="H29" s="233"/>
      <c r="I29" s="233"/>
      <c r="J29" s="90"/>
      <c r="K29" s="90"/>
      <c r="L29" s="90"/>
      <c r="M29" s="90"/>
      <c r="N29" s="60"/>
    </row>
    <row r="30" spans="3:14" x14ac:dyDescent="0.25">
      <c r="C30" s="83"/>
      <c r="D30" s="88"/>
      <c r="E30" s="233"/>
      <c r="F30" s="233"/>
      <c r="G30" s="233"/>
      <c r="H30" s="233"/>
      <c r="I30" s="233"/>
      <c r="J30" s="88"/>
      <c r="K30" s="88"/>
      <c r="L30" s="88"/>
      <c r="M30" s="88"/>
      <c r="N30" s="60"/>
    </row>
    <row r="31" spans="3:14" x14ac:dyDescent="0.25">
      <c r="C31" s="83"/>
      <c r="D31" s="88"/>
      <c r="E31" s="233"/>
      <c r="F31" s="233"/>
      <c r="G31" s="233"/>
      <c r="H31" s="233"/>
      <c r="I31" s="233"/>
      <c r="J31" s="88"/>
      <c r="K31" s="88"/>
      <c r="L31" s="88"/>
      <c r="M31" s="88"/>
      <c r="N31" s="60"/>
    </row>
    <row r="32" spans="3:14" x14ac:dyDescent="0.25">
      <c r="C32" s="92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4"/>
    </row>
  </sheetData>
  <mergeCells count="22">
    <mergeCell ref="C3:C4"/>
    <mergeCell ref="D3:N4"/>
    <mergeCell ref="D5:E6"/>
    <mergeCell ref="F5:I5"/>
    <mergeCell ref="J5:M5"/>
    <mergeCell ref="N5:N8"/>
    <mergeCell ref="C9:C17"/>
    <mergeCell ref="D9:D11"/>
    <mergeCell ref="E9:E11"/>
    <mergeCell ref="D12:D14"/>
    <mergeCell ref="E12:E14"/>
    <mergeCell ref="D15:D17"/>
    <mergeCell ref="E15:E17"/>
    <mergeCell ref="E23:I23"/>
    <mergeCell ref="E28:I31"/>
    <mergeCell ref="F18:I18"/>
    <mergeCell ref="J18:M18"/>
    <mergeCell ref="N18:N20"/>
    <mergeCell ref="F19:I19"/>
    <mergeCell ref="J19:M19"/>
    <mergeCell ref="F20:I20"/>
    <mergeCell ref="J20:M2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K24"/>
  <sheetViews>
    <sheetView showGridLines="0" zoomScale="70" zoomScaleNormal="70" workbookViewId="0">
      <selection activeCell="G14" sqref="G14"/>
    </sheetView>
  </sheetViews>
  <sheetFormatPr defaultColWidth="9.140625" defaultRowHeight="15.75" x14ac:dyDescent="0.25"/>
  <cols>
    <col min="1" max="1" width="7" style="1" customWidth="1"/>
    <col min="2" max="2" width="8.7109375" style="1" customWidth="1"/>
    <col min="3" max="3" width="19.28515625" style="2" customWidth="1"/>
    <col min="4" max="4" width="52.85546875" style="3" customWidth="1"/>
    <col min="5" max="5" width="11" style="1" customWidth="1"/>
    <col min="6" max="6" width="9.5703125" style="4" customWidth="1"/>
    <col min="7" max="7" width="56.28515625" style="3" customWidth="1"/>
    <col min="8" max="8" width="12.42578125" style="5" customWidth="1"/>
    <col min="9" max="9" width="14.140625" style="5" customWidth="1"/>
    <col min="10" max="10" width="12.42578125" style="6" customWidth="1"/>
    <col min="11" max="11" width="12.42578125" style="5" customWidth="1"/>
    <col min="12" max="12" width="20.5703125" style="5" customWidth="1"/>
    <col min="13" max="63" width="9.140625" style="1"/>
  </cols>
  <sheetData>
    <row r="1" spans="1:12" ht="15.75" customHeight="1" thickBot="1" x14ac:dyDescent="0.3">
      <c r="A1" s="268"/>
      <c r="B1" s="268"/>
      <c r="C1" s="268"/>
      <c r="D1" s="269" t="s">
        <v>0</v>
      </c>
      <c r="E1" s="269"/>
      <c r="F1" s="269"/>
      <c r="G1" s="269"/>
      <c r="H1" s="269"/>
      <c r="I1" s="269"/>
      <c r="J1" s="269"/>
      <c r="K1" s="269"/>
      <c r="L1" s="269"/>
    </row>
    <row r="2" spans="1:12" ht="17.25" thickTop="1" thickBot="1" x14ac:dyDescent="0.3">
      <c r="A2" s="268"/>
      <c r="B2" s="268"/>
      <c r="C2" s="268"/>
      <c r="D2" s="269"/>
      <c r="E2" s="269"/>
      <c r="F2" s="269"/>
      <c r="G2" s="269"/>
      <c r="H2" s="269"/>
      <c r="I2" s="269"/>
      <c r="J2" s="269"/>
      <c r="K2" s="269"/>
      <c r="L2" s="269"/>
    </row>
    <row r="3" spans="1:12" ht="17.25" thickTop="1" thickBot="1" x14ac:dyDescent="0.3">
      <c r="A3" s="268"/>
      <c r="B3" s="268"/>
      <c r="C3" s="268"/>
      <c r="D3" s="269"/>
      <c r="E3" s="269"/>
      <c r="F3" s="269"/>
      <c r="G3" s="269"/>
      <c r="H3" s="269"/>
      <c r="I3" s="269"/>
      <c r="J3" s="269"/>
      <c r="K3" s="269"/>
      <c r="L3" s="269"/>
    </row>
    <row r="4" spans="1:12" ht="17.25" thickTop="1" thickBot="1" x14ac:dyDescent="0.3">
      <c r="A4" s="268"/>
      <c r="B4" s="268"/>
      <c r="C4" s="268"/>
      <c r="D4" s="269"/>
      <c r="E4" s="269"/>
      <c r="F4" s="269"/>
      <c r="G4" s="269"/>
      <c r="H4" s="269"/>
      <c r="I4" s="269"/>
      <c r="J4" s="269"/>
      <c r="K4" s="269"/>
      <c r="L4" s="269"/>
    </row>
    <row r="5" spans="1:12" ht="15.75" customHeight="1" thickTop="1" x14ac:dyDescent="0.25">
      <c r="A5" s="255" t="s">
        <v>1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7"/>
    </row>
    <row r="6" spans="1:12" ht="15.75" customHeight="1" x14ac:dyDescent="0.25">
      <c r="A6" s="258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60"/>
    </row>
    <row r="7" spans="1:12" ht="15.75" customHeight="1" x14ac:dyDescent="0.25">
      <c r="A7" s="258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60"/>
    </row>
    <row r="8" spans="1:12" ht="15.75" customHeight="1" x14ac:dyDescent="0.25">
      <c r="A8" s="258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60"/>
    </row>
    <row r="9" spans="1:12" ht="15.75" customHeight="1" x14ac:dyDescent="0.25">
      <c r="A9" s="258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60"/>
    </row>
    <row r="10" spans="1:12" ht="15.75" customHeight="1" thickBot="1" x14ac:dyDescent="0.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3"/>
    </row>
    <row r="11" spans="1:12" ht="27.6" customHeight="1" thickTop="1" thickBot="1" x14ac:dyDescent="0.3">
      <c r="A11" s="232" t="s">
        <v>138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</row>
    <row r="12" spans="1:12" s="13" customFormat="1" ht="64.5" thickTop="1" thickBot="1" x14ac:dyDescent="0.3">
      <c r="A12" s="95" t="s">
        <v>2</v>
      </c>
      <c r="B12" s="7" t="s">
        <v>3</v>
      </c>
      <c r="C12" s="8" t="s">
        <v>4</v>
      </c>
      <c r="D12" s="9" t="s">
        <v>5</v>
      </c>
      <c r="E12" s="7" t="s">
        <v>6</v>
      </c>
      <c r="F12" s="10" t="s">
        <v>7</v>
      </c>
      <c r="G12" s="9" t="s">
        <v>8</v>
      </c>
      <c r="H12" s="11" t="s">
        <v>9</v>
      </c>
      <c r="I12" s="11" t="s">
        <v>10</v>
      </c>
      <c r="J12" s="12" t="s">
        <v>11</v>
      </c>
      <c r="K12" s="11" t="s">
        <v>12</v>
      </c>
      <c r="L12" s="96" t="s">
        <v>13</v>
      </c>
    </row>
    <row r="13" spans="1:12" s="13" customFormat="1" ht="17.25" thickTop="1" thickBot="1" x14ac:dyDescent="0.3">
      <c r="A13" s="97">
        <v>1</v>
      </c>
      <c r="B13" s="270" t="s">
        <v>139</v>
      </c>
      <c r="C13" s="270"/>
      <c r="D13" s="270"/>
      <c r="E13" s="270"/>
      <c r="F13" s="270"/>
      <c r="G13" s="270"/>
      <c r="H13" s="270"/>
      <c r="I13" s="270"/>
      <c r="J13" s="270"/>
      <c r="K13" s="270"/>
      <c r="L13" s="270"/>
    </row>
    <row r="14" spans="1:12" s="13" customFormat="1" ht="25.5" x14ac:dyDescent="0.25">
      <c r="A14" s="98" t="s">
        <v>16</v>
      </c>
      <c r="B14" s="14" t="s">
        <v>17</v>
      </c>
      <c r="C14" s="99" t="s">
        <v>218</v>
      </c>
      <c r="D14" s="16" t="s">
        <v>219</v>
      </c>
      <c r="E14" s="14" t="s">
        <v>38</v>
      </c>
      <c r="F14" s="15">
        <v>44</v>
      </c>
      <c r="G14" s="16" t="s">
        <v>220</v>
      </c>
      <c r="H14" s="100">
        <v>106.16</v>
      </c>
      <c r="I14" s="100">
        <f>H14*F14</f>
        <v>4671.04</v>
      </c>
      <c r="J14" s="101">
        <v>0.2495</v>
      </c>
      <c r="K14" s="100">
        <f>H14+(H14*J14)</f>
        <v>132.64691999999999</v>
      </c>
      <c r="L14" s="102">
        <f>K14*F14</f>
        <v>5836.4644799999996</v>
      </c>
    </row>
    <row r="15" spans="1:12" s="13" customFormat="1" ht="25.5" x14ac:dyDescent="0.25">
      <c r="A15" s="176" t="s">
        <v>22</v>
      </c>
      <c r="B15" s="22" t="s">
        <v>17</v>
      </c>
      <c r="C15" s="177">
        <v>90776</v>
      </c>
      <c r="D15" s="23" t="s">
        <v>140</v>
      </c>
      <c r="E15" s="22" t="s">
        <v>38</v>
      </c>
      <c r="F15" s="21">
        <f>44*8</f>
        <v>352</v>
      </c>
      <c r="G15" s="23" t="s">
        <v>217</v>
      </c>
      <c r="H15" s="178">
        <v>28.46</v>
      </c>
      <c r="I15" s="178">
        <f>H15*F15</f>
        <v>10017.92</v>
      </c>
      <c r="J15" s="179">
        <v>0.2495</v>
      </c>
      <c r="K15" s="178">
        <f>H15+(H15*J15)</f>
        <v>35.560769999999998</v>
      </c>
      <c r="L15" s="180">
        <f>K15*F15</f>
        <v>12517.391039999999</v>
      </c>
    </row>
    <row r="16" spans="1:12" s="13" customFormat="1" ht="39" thickBot="1" x14ac:dyDescent="0.3">
      <c r="A16" s="171" t="s">
        <v>27</v>
      </c>
      <c r="B16" s="172" t="s">
        <v>17</v>
      </c>
      <c r="C16" s="145" t="s">
        <v>32</v>
      </c>
      <c r="D16" s="146" t="s">
        <v>33</v>
      </c>
      <c r="E16" s="144" t="s">
        <v>34</v>
      </c>
      <c r="F16" s="147">
        <f>1+1</f>
        <v>2</v>
      </c>
      <c r="G16" s="173" t="s">
        <v>208</v>
      </c>
      <c r="H16" s="174">
        <v>950</v>
      </c>
      <c r="I16" s="175">
        <f>H16*F16</f>
        <v>1900</v>
      </c>
      <c r="J16" s="179">
        <v>0.2495</v>
      </c>
      <c r="K16" s="178">
        <f>H16+(H16*J16)</f>
        <v>1187.0250000000001</v>
      </c>
      <c r="L16" s="180">
        <f>K16*F16</f>
        <v>2374.0500000000002</v>
      </c>
    </row>
    <row r="17" spans="1:12" s="13" customFormat="1" ht="16.5" thickBot="1" x14ac:dyDescent="0.3">
      <c r="A17" s="264" t="s">
        <v>60</v>
      </c>
      <c r="B17" s="264"/>
      <c r="C17" s="264"/>
      <c r="D17" s="264"/>
      <c r="E17" s="264"/>
      <c r="F17" s="264"/>
      <c r="G17" s="264"/>
      <c r="H17" s="264"/>
      <c r="I17" s="103">
        <f>SUM(I14:I16)</f>
        <v>16588.96</v>
      </c>
      <c r="J17" s="104"/>
      <c r="K17" s="104"/>
      <c r="L17" s="105">
        <f>SUM(L14:L16)</f>
        <v>20727.905519999997</v>
      </c>
    </row>
    <row r="18" spans="1:12" s="20" customFormat="1" ht="15" customHeight="1" thickTop="1" thickBot="1" x14ac:dyDescent="0.3">
      <c r="A18" s="265" t="s">
        <v>121</v>
      </c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106">
        <f>I17</f>
        <v>16588.96</v>
      </c>
    </row>
    <row r="19" spans="1:12" s="20" customFormat="1" ht="15" customHeight="1" thickBot="1" x14ac:dyDescent="0.3">
      <c r="A19" s="266" t="s">
        <v>122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107">
        <f>L20-L18</f>
        <v>4138.9455199999975</v>
      </c>
    </row>
    <row r="20" spans="1:12" s="20" customFormat="1" ht="15" customHeight="1" thickBot="1" x14ac:dyDescent="0.3">
      <c r="A20" s="267" t="s">
        <v>123</v>
      </c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108">
        <f>L17</f>
        <v>20727.905519999997</v>
      </c>
    </row>
    <row r="21" spans="1:12" s="20" customFormat="1" ht="15" customHeight="1" thickTop="1" thickBot="1" x14ac:dyDescent="0.3">
      <c r="A21" s="266" t="s">
        <v>141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109">
        <f>'PLANILHA ORÇAMENTÁRIA'!M49</f>
        <v>196727.83774074371</v>
      </c>
    </row>
    <row r="22" spans="1:12" s="20" customFormat="1" ht="15" customHeight="1" thickBot="1" x14ac:dyDescent="0.3">
      <c r="A22" s="266" t="s">
        <v>142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00">
        <f>L20/L21</f>
        <v>0.1053633576114231</v>
      </c>
    </row>
    <row r="23" spans="1:12" ht="119.45" customHeight="1" thickTop="1" thickBot="1" x14ac:dyDescent="0.3">
      <c r="A23" s="254" t="s">
        <v>124</v>
      </c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</row>
    <row r="24" spans="1:12" x14ac:dyDescent="0.25">
      <c r="A24" s="221"/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</row>
  </sheetData>
  <mergeCells count="13">
    <mergeCell ref="A1:C4"/>
    <mergeCell ref="D1:L4"/>
    <mergeCell ref="A11:L11"/>
    <mergeCell ref="B13:L13"/>
    <mergeCell ref="A22:K22"/>
    <mergeCell ref="A23:L23"/>
    <mergeCell ref="A24:L24"/>
    <mergeCell ref="A5:L10"/>
    <mergeCell ref="A17:H17"/>
    <mergeCell ref="A18:K18"/>
    <mergeCell ref="A19:K19"/>
    <mergeCell ref="A20:K20"/>
    <mergeCell ref="A21:K21"/>
  </mergeCells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showGridLines="0" zoomScaleNormal="100" workbookViewId="0">
      <selection activeCell="G25" sqref="G25"/>
    </sheetView>
  </sheetViews>
  <sheetFormatPr defaultColWidth="8.7109375" defaultRowHeight="15" x14ac:dyDescent="0.25"/>
  <cols>
    <col min="1" max="1" width="12.28515625" customWidth="1"/>
    <col min="2" max="2" width="50.85546875" customWidth="1"/>
    <col min="4" max="4" width="25" customWidth="1"/>
    <col min="257" max="257" width="12.28515625" customWidth="1"/>
    <col min="258" max="258" width="50.85546875" customWidth="1"/>
    <col min="260" max="260" width="30.140625" customWidth="1"/>
    <col min="513" max="513" width="12.28515625" customWidth="1"/>
    <col min="514" max="514" width="50.85546875" customWidth="1"/>
    <col min="516" max="516" width="30.140625" customWidth="1"/>
    <col min="769" max="769" width="12.28515625" customWidth="1"/>
    <col min="770" max="770" width="50.85546875" customWidth="1"/>
    <col min="772" max="772" width="30.140625" customWidth="1"/>
  </cols>
  <sheetData>
    <row r="1" spans="1:4" ht="15.75" customHeight="1" x14ac:dyDescent="0.25">
      <c r="A1" s="278" t="s">
        <v>143</v>
      </c>
      <c r="B1" s="278"/>
      <c r="C1" s="278"/>
      <c r="D1" s="278"/>
    </row>
    <row r="2" spans="1:4" ht="15.75" customHeight="1" x14ac:dyDescent="0.25">
      <c r="A2" s="279" t="s">
        <v>2</v>
      </c>
      <c r="B2" s="275" t="s">
        <v>133</v>
      </c>
      <c r="C2" s="279" t="s">
        <v>116</v>
      </c>
      <c r="D2" s="279" t="s">
        <v>144</v>
      </c>
    </row>
    <row r="3" spans="1:4" x14ac:dyDescent="0.25">
      <c r="A3" s="279"/>
      <c r="B3" s="275"/>
      <c r="C3" s="279"/>
      <c r="D3" s="279"/>
    </row>
    <row r="4" spans="1:4" ht="15.75" x14ac:dyDescent="0.25">
      <c r="A4" s="110"/>
      <c r="B4" s="111"/>
      <c r="C4" s="110"/>
      <c r="D4" s="112"/>
    </row>
    <row r="5" spans="1:4" ht="15.75" customHeight="1" x14ac:dyDescent="0.25">
      <c r="A5" s="113">
        <v>1</v>
      </c>
      <c r="B5" s="273" t="s">
        <v>145</v>
      </c>
      <c r="C5" s="273"/>
      <c r="D5" s="114"/>
    </row>
    <row r="6" spans="1:4" ht="15.75" customHeight="1" x14ac:dyDescent="0.25">
      <c r="A6" s="115" t="s">
        <v>16</v>
      </c>
      <c r="B6" s="277" t="s">
        <v>146</v>
      </c>
      <c r="C6" s="277"/>
      <c r="D6" s="116"/>
    </row>
    <row r="7" spans="1:4" ht="15" customHeight="1" x14ac:dyDescent="0.25">
      <c r="A7" s="110" t="s">
        <v>147</v>
      </c>
      <c r="B7" s="111" t="s">
        <v>148</v>
      </c>
      <c r="C7" s="110" t="s">
        <v>149</v>
      </c>
      <c r="D7" s="117">
        <v>3</v>
      </c>
    </row>
    <row r="8" spans="1:4" ht="15.75" customHeight="1" x14ac:dyDescent="0.25">
      <c r="A8" s="115" t="s">
        <v>22</v>
      </c>
      <c r="B8" s="277" t="s">
        <v>150</v>
      </c>
      <c r="C8" s="277"/>
      <c r="D8" s="118"/>
    </row>
    <row r="9" spans="1:4" ht="38.25" customHeight="1" x14ac:dyDescent="0.25">
      <c r="A9" s="110" t="s">
        <v>151</v>
      </c>
      <c r="B9" s="111" t="s">
        <v>152</v>
      </c>
      <c r="C9" s="110" t="s">
        <v>149</v>
      </c>
      <c r="D9" s="117">
        <v>1</v>
      </c>
    </row>
    <row r="10" spans="1:4" ht="51" customHeight="1" x14ac:dyDescent="0.25">
      <c r="A10" s="110" t="s">
        <v>153</v>
      </c>
      <c r="B10" s="111" t="s">
        <v>154</v>
      </c>
      <c r="C10" s="110" t="s">
        <v>149</v>
      </c>
      <c r="D10" s="117">
        <v>1.27</v>
      </c>
    </row>
    <row r="11" spans="1:4" ht="15.75" customHeight="1" x14ac:dyDescent="0.25">
      <c r="A11" s="115" t="s">
        <v>27</v>
      </c>
      <c r="B11" s="277" t="s">
        <v>155</v>
      </c>
      <c r="C11" s="277"/>
      <c r="D11" s="118"/>
    </row>
    <row r="12" spans="1:4" ht="17.25" customHeight="1" x14ac:dyDescent="0.25">
      <c r="A12" s="110" t="s">
        <v>156</v>
      </c>
      <c r="B12" s="111" t="s">
        <v>157</v>
      </c>
      <c r="C12" s="110" t="s">
        <v>149</v>
      </c>
      <c r="D12" s="117">
        <v>0.14000000000000001</v>
      </c>
    </row>
    <row r="13" spans="1:4" ht="15.75" customHeight="1" x14ac:dyDescent="0.25">
      <c r="A13" s="115" t="s">
        <v>31</v>
      </c>
      <c r="B13" s="277" t="s">
        <v>158</v>
      </c>
      <c r="C13" s="277"/>
      <c r="D13" s="116"/>
    </row>
    <row r="14" spans="1:4" ht="15.75" x14ac:dyDescent="0.25">
      <c r="A14" s="110" t="s">
        <v>159</v>
      </c>
      <c r="B14" s="111" t="s">
        <v>160</v>
      </c>
      <c r="C14" s="110" t="s">
        <v>149</v>
      </c>
      <c r="D14" s="117">
        <v>2</v>
      </c>
    </row>
    <row r="15" spans="1:4" ht="15.75" x14ac:dyDescent="0.25">
      <c r="A15" s="110" t="s">
        <v>161</v>
      </c>
      <c r="B15" s="111" t="s">
        <v>162</v>
      </c>
      <c r="C15" s="110" t="s">
        <v>149</v>
      </c>
      <c r="D15" s="117">
        <v>3</v>
      </c>
    </row>
    <row r="16" spans="1:4" ht="15.75" x14ac:dyDescent="0.25">
      <c r="A16" s="110" t="s">
        <v>163</v>
      </c>
      <c r="B16" s="111" t="s">
        <v>164</v>
      </c>
      <c r="C16" s="110" t="s">
        <v>149</v>
      </c>
      <c r="D16" s="117">
        <v>0.65</v>
      </c>
    </row>
    <row r="17" spans="1:4" ht="15.75" x14ac:dyDescent="0.25">
      <c r="A17" s="110" t="s">
        <v>165</v>
      </c>
      <c r="B17" s="111" t="s">
        <v>166</v>
      </c>
      <c r="C17" s="110" t="s">
        <v>149</v>
      </c>
      <c r="D17" s="117">
        <v>4.5</v>
      </c>
    </row>
    <row r="18" spans="1:4" ht="15.75" customHeight="1" x14ac:dyDescent="0.25">
      <c r="A18" s="113">
        <v>2</v>
      </c>
      <c r="B18" s="273" t="s">
        <v>167</v>
      </c>
      <c r="C18" s="273"/>
      <c r="D18" s="114"/>
    </row>
    <row r="19" spans="1:4" ht="15.75" customHeight="1" x14ac:dyDescent="0.25">
      <c r="A19" s="119" t="s">
        <v>62</v>
      </c>
      <c r="B19" s="274" t="s">
        <v>168</v>
      </c>
      <c r="C19" s="274"/>
      <c r="D19" s="120"/>
    </row>
    <row r="20" spans="1:4" ht="15.75" x14ac:dyDescent="0.25">
      <c r="A20" s="110" t="s">
        <v>64</v>
      </c>
      <c r="B20" s="111" t="s">
        <v>169</v>
      </c>
      <c r="C20" s="110" t="s">
        <v>149</v>
      </c>
      <c r="D20" s="117">
        <v>6.5</v>
      </c>
    </row>
    <row r="21" spans="1:4" ht="29.25" customHeight="1" x14ac:dyDescent="0.25">
      <c r="A21" s="275" t="s">
        <v>170</v>
      </c>
      <c r="B21" s="275"/>
      <c r="C21" s="275"/>
      <c r="D21" s="276">
        <f>((((1+(D7/100)+(D9/100)+(D10/100))*(1+(D12/100))*(1+(D20/100)))/(1-((D14+D15+D16+D17)/100)))-1)</f>
        <v>0.24952150884808</v>
      </c>
    </row>
    <row r="22" spans="1:4" ht="33" customHeight="1" x14ac:dyDescent="0.25">
      <c r="A22" s="275"/>
      <c r="B22" s="275"/>
      <c r="C22" s="275"/>
      <c r="D22" s="276"/>
    </row>
    <row r="23" spans="1:4" ht="15.6" customHeight="1" x14ac:dyDescent="0.25">
      <c r="A23" s="271" t="s">
        <v>171</v>
      </c>
      <c r="B23" s="271"/>
      <c r="C23" s="271"/>
      <c r="D23" s="271"/>
    </row>
    <row r="24" spans="1:4" ht="15.6" customHeight="1" x14ac:dyDescent="0.25">
      <c r="A24" s="271" t="s">
        <v>172</v>
      </c>
      <c r="B24" s="271"/>
      <c r="C24" s="271"/>
      <c r="D24" s="271"/>
    </row>
    <row r="25" spans="1:4" ht="178.15" customHeight="1" x14ac:dyDescent="0.25">
      <c r="A25" s="272" t="s">
        <v>207</v>
      </c>
      <c r="B25" s="272"/>
      <c r="C25" s="272"/>
      <c r="D25" s="272"/>
    </row>
    <row r="26" spans="1:4" ht="29.25" customHeight="1" x14ac:dyDescent="0.25">
      <c r="A26" s="272"/>
      <c r="B26" s="272"/>
      <c r="C26" s="272"/>
      <c r="D26" s="272"/>
    </row>
    <row r="27" spans="1:4" ht="33" customHeight="1" x14ac:dyDescent="0.25">
      <c r="A27" s="272"/>
      <c r="B27" s="272"/>
      <c r="C27" s="272"/>
      <c r="D27" s="272"/>
    </row>
    <row r="28" spans="1:4" ht="15.75" x14ac:dyDescent="0.25">
      <c r="A28" s="121"/>
      <c r="B28" s="121"/>
      <c r="C28" s="121"/>
      <c r="D28" s="121"/>
    </row>
  </sheetData>
  <mergeCells count="17">
    <mergeCell ref="A1:D1"/>
    <mergeCell ref="A2:A3"/>
    <mergeCell ref="B2:B3"/>
    <mergeCell ref="C2:C3"/>
    <mergeCell ref="D2:D3"/>
    <mergeCell ref="B5:C5"/>
    <mergeCell ref="B6:C6"/>
    <mergeCell ref="B8:C8"/>
    <mergeCell ref="B11:C11"/>
    <mergeCell ref="B13:C13"/>
    <mergeCell ref="A24:D24"/>
    <mergeCell ref="A25:D27"/>
    <mergeCell ref="B18:C18"/>
    <mergeCell ref="B19:C19"/>
    <mergeCell ref="A21:C22"/>
    <mergeCell ref="D21:D22"/>
    <mergeCell ref="A23:D23"/>
  </mergeCells>
  <pageMargins left="0.51180555555555496" right="0.51180555555555496" top="0.78749999999999998" bottom="0.78749999999999998" header="0.51180555555555496" footer="0.51180555555555496"/>
  <pageSetup paperSize="9" scale="90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34"/>
  <sheetViews>
    <sheetView showGridLines="0" zoomScale="110" zoomScaleNormal="110" workbookViewId="0">
      <selection activeCell="H33" sqref="H33"/>
    </sheetView>
  </sheetViews>
  <sheetFormatPr defaultColWidth="9.140625" defaultRowHeight="15.75" x14ac:dyDescent="0.25"/>
  <cols>
    <col min="1" max="1" width="7" style="1" customWidth="1"/>
    <col min="2" max="2" width="8.7109375" style="1" customWidth="1"/>
    <col min="3" max="3" width="19.28515625" style="2" customWidth="1"/>
    <col min="4" max="4" width="52.85546875" style="3" customWidth="1"/>
    <col min="5" max="5" width="11" style="1" customWidth="1"/>
    <col min="6" max="6" width="9.5703125" style="4" customWidth="1"/>
    <col min="7" max="7" width="9.42578125" style="3" customWidth="1"/>
    <col min="8" max="8" width="13.28515625" style="5" customWidth="1"/>
    <col min="9" max="9" width="12.28515625" style="5" customWidth="1"/>
    <col min="10" max="10" width="13.42578125" style="6" customWidth="1"/>
    <col min="11" max="61" width="9.140625" style="1"/>
  </cols>
  <sheetData>
    <row r="1" spans="1:61" ht="16.5" customHeight="1" thickTop="1" thickBot="1" x14ac:dyDescent="0.3">
      <c r="A1" s="292"/>
      <c r="B1" s="292"/>
      <c r="C1" s="292"/>
      <c r="D1" s="293" t="s">
        <v>0</v>
      </c>
      <c r="E1" s="293"/>
      <c r="F1" s="293"/>
      <c r="G1" s="293"/>
      <c r="H1" s="293"/>
      <c r="I1" s="293"/>
      <c r="J1" s="293"/>
    </row>
    <row r="2" spans="1:61" ht="17.25" thickTop="1" thickBot="1" x14ac:dyDescent="0.3">
      <c r="A2" s="292"/>
      <c r="B2" s="292"/>
      <c r="C2" s="292"/>
      <c r="D2" s="293"/>
      <c r="E2" s="293"/>
      <c r="F2" s="293"/>
      <c r="G2" s="293"/>
      <c r="H2" s="293"/>
      <c r="I2" s="293"/>
      <c r="J2" s="293"/>
    </row>
    <row r="3" spans="1:61" ht="17.25" thickTop="1" thickBot="1" x14ac:dyDescent="0.3">
      <c r="A3" s="292"/>
      <c r="B3" s="292"/>
      <c r="C3" s="292"/>
      <c r="D3" s="293"/>
      <c r="E3" s="293"/>
      <c r="F3" s="293"/>
      <c r="G3" s="293"/>
      <c r="H3" s="293"/>
      <c r="I3" s="293"/>
      <c r="J3" s="293"/>
    </row>
    <row r="4" spans="1:61" ht="17.25" thickTop="1" thickBot="1" x14ac:dyDescent="0.3">
      <c r="A4" s="292"/>
      <c r="B4" s="292"/>
      <c r="C4" s="292"/>
      <c r="D4" s="293"/>
      <c r="E4" s="293"/>
      <c r="F4" s="293"/>
      <c r="G4" s="293"/>
      <c r="H4" s="293"/>
      <c r="I4" s="293"/>
      <c r="J4" s="293"/>
    </row>
    <row r="5" spans="1:61" ht="15.75" customHeight="1" thickTop="1" x14ac:dyDescent="0.25">
      <c r="A5" s="255" t="s">
        <v>1</v>
      </c>
      <c r="B5" s="256"/>
      <c r="C5" s="256"/>
      <c r="D5" s="256"/>
      <c r="E5" s="256"/>
      <c r="F5" s="256"/>
      <c r="G5" s="256"/>
      <c r="H5" s="256"/>
      <c r="I5" s="256"/>
      <c r="J5" s="257"/>
    </row>
    <row r="6" spans="1:61" ht="15.75" customHeight="1" x14ac:dyDescent="0.25">
      <c r="A6" s="258"/>
      <c r="B6" s="259"/>
      <c r="C6" s="259"/>
      <c r="D6" s="259"/>
      <c r="E6" s="259"/>
      <c r="F6" s="259"/>
      <c r="G6" s="259"/>
      <c r="H6" s="259"/>
      <c r="I6" s="259"/>
      <c r="J6" s="260"/>
    </row>
    <row r="7" spans="1:61" ht="15.75" customHeight="1" x14ac:dyDescent="0.25">
      <c r="A7" s="258"/>
      <c r="B7" s="259"/>
      <c r="C7" s="259"/>
      <c r="D7" s="259"/>
      <c r="E7" s="259"/>
      <c r="F7" s="259"/>
      <c r="G7" s="259"/>
      <c r="H7" s="259"/>
      <c r="I7" s="259"/>
      <c r="J7" s="260"/>
    </row>
    <row r="8" spans="1:61" ht="15.75" customHeight="1" x14ac:dyDescent="0.25">
      <c r="A8" s="258"/>
      <c r="B8" s="259"/>
      <c r="C8" s="259"/>
      <c r="D8" s="259"/>
      <c r="E8" s="259"/>
      <c r="F8" s="259"/>
      <c r="G8" s="259"/>
      <c r="H8" s="259"/>
      <c r="I8" s="259"/>
      <c r="J8" s="260"/>
    </row>
    <row r="9" spans="1:61" ht="15.75" customHeight="1" x14ac:dyDescent="0.25">
      <c r="A9" s="258"/>
      <c r="B9" s="259"/>
      <c r="C9" s="259"/>
      <c r="D9" s="259"/>
      <c r="E9" s="259"/>
      <c r="F9" s="259"/>
      <c r="G9" s="259"/>
      <c r="H9" s="259"/>
      <c r="I9" s="259"/>
      <c r="J9" s="260"/>
    </row>
    <row r="10" spans="1:61" ht="15.75" customHeight="1" thickBot="1" x14ac:dyDescent="0.3">
      <c r="A10" s="261"/>
      <c r="B10" s="262"/>
      <c r="C10" s="262"/>
      <c r="D10" s="262"/>
      <c r="E10" s="262"/>
      <c r="F10" s="262"/>
      <c r="G10" s="262"/>
      <c r="H10" s="262"/>
      <c r="I10" s="262"/>
      <c r="J10" s="263"/>
    </row>
    <row r="11" spans="1:61" ht="27.6" customHeight="1" thickTop="1" thickBot="1" x14ac:dyDescent="0.3">
      <c r="A11" s="283" t="s">
        <v>223</v>
      </c>
      <c r="B11" s="284"/>
      <c r="C11" s="284"/>
      <c r="D11" s="284"/>
      <c r="E11" s="284"/>
      <c r="F11" s="284"/>
      <c r="G11" s="284"/>
      <c r="H11" s="284"/>
      <c r="I11" s="284"/>
      <c r="J11" s="285"/>
    </row>
    <row r="12" spans="1:61" ht="16.5" thickBot="1" x14ac:dyDescent="0.3">
      <c r="A12" s="291" t="s">
        <v>173</v>
      </c>
      <c r="B12" s="291"/>
      <c r="C12" s="291"/>
      <c r="D12" s="291"/>
      <c r="E12" s="291"/>
      <c r="F12" s="291"/>
      <c r="G12" s="291"/>
      <c r="H12" s="291"/>
      <c r="I12" s="291"/>
      <c r="J12" s="291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</row>
    <row r="13" spans="1:61" ht="16.5" thickBot="1" x14ac:dyDescent="0.3">
      <c r="A13" s="289" t="s">
        <v>4</v>
      </c>
      <c r="B13" s="289"/>
      <c r="C13" s="289"/>
      <c r="D13" s="289" t="s">
        <v>174</v>
      </c>
      <c r="E13" s="289"/>
      <c r="F13" s="289"/>
      <c r="G13" s="289"/>
      <c r="H13" s="289"/>
      <c r="I13" s="289"/>
      <c r="J13" s="122" t="s">
        <v>6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</row>
    <row r="14" spans="1:61" ht="26.45" customHeight="1" thickBot="1" x14ac:dyDescent="0.3">
      <c r="A14" s="123" t="s">
        <v>22</v>
      </c>
      <c r="B14" s="124" t="s">
        <v>175</v>
      </c>
      <c r="C14" s="125" t="s">
        <v>24</v>
      </c>
      <c r="D14" s="290" t="s">
        <v>25</v>
      </c>
      <c r="E14" s="290"/>
      <c r="F14" s="290"/>
      <c r="G14" s="290"/>
      <c r="H14" s="290"/>
      <c r="I14" s="290"/>
      <c r="J14" s="126" t="s">
        <v>20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</row>
    <row r="15" spans="1:61" ht="16.5" thickBot="1" x14ac:dyDescent="0.3">
      <c r="A15" s="291" t="s">
        <v>176</v>
      </c>
      <c r="B15" s="291"/>
      <c r="C15" s="291"/>
      <c r="D15" s="291"/>
      <c r="E15" s="291"/>
      <c r="F15" s="291"/>
      <c r="G15" s="291"/>
      <c r="H15" s="291"/>
      <c r="I15" s="291"/>
      <c r="J15" s="291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</row>
    <row r="16" spans="1:61" ht="15" x14ac:dyDescent="0.25">
      <c r="A16" s="286" t="s">
        <v>4</v>
      </c>
      <c r="B16" s="286"/>
      <c r="C16" s="286"/>
      <c r="D16" s="287" t="s">
        <v>177</v>
      </c>
      <c r="E16" s="287"/>
      <c r="F16" s="287"/>
      <c r="G16" s="127" t="s">
        <v>6</v>
      </c>
      <c r="H16" s="127" t="s">
        <v>178</v>
      </c>
      <c r="I16" s="127" t="s">
        <v>179</v>
      </c>
      <c r="J16" s="128" t="s">
        <v>180</v>
      </c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</row>
    <row r="17" spans="1:61" ht="24" customHeight="1" x14ac:dyDescent="0.25">
      <c r="A17" s="288" t="s">
        <v>181</v>
      </c>
      <c r="B17" s="288"/>
      <c r="C17" s="288"/>
      <c r="D17" s="281" t="s">
        <v>182</v>
      </c>
      <c r="E17" s="281"/>
      <c r="F17" s="281"/>
      <c r="G17" s="129" t="s">
        <v>183</v>
      </c>
      <c r="H17" s="129">
        <v>4</v>
      </c>
      <c r="I17" s="170">
        <v>30.78</v>
      </c>
      <c r="J17" s="130">
        <f t="shared" ref="J17:J22" si="0">I17*H17</f>
        <v>123.12</v>
      </c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</row>
    <row r="18" spans="1:61" ht="24" customHeight="1" x14ac:dyDescent="0.25">
      <c r="A18" s="288" t="s">
        <v>224</v>
      </c>
      <c r="B18" s="288"/>
      <c r="C18" s="288"/>
      <c r="D18" s="281" t="s">
        <v>184</v>
      </c>
      <c r="E18" s="281"/>
      <c r="F18" s="281"/>
      <c r="G18" s="129" t="s">
        <v>185</v>
      </c>
      <c r="H18" s="129">
        <v>1</v>
      </c>
      <c r="I18" s="170">
        <v>275</v>
      </c>
      <c r="J18" s="130">
        <f t="shared" si="0"/>
        <v>275</v>
      </c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</row>
    <row r="19" spans="1:61" ht="12.75" customHeight="1" x14ac:dyDescent="0.25">
      <c r="A19" s="280" t="s">
        <v>225</v>
      </c>
      <c r="B19" s="280"/>
      <c r="C19" s="280"/>
      <c r="D19" s="281" t="s">
        <v>186</v>
      </c>
      <c r="E19" s="281"/>
      <c r="F19" s="281"/>
      <c r="G19" s="129" t="s">
        <v>183</v>
      </c>
      <c r="H19" s="129">
        <v>1</v>
      </c>
      <c r="I19" s="170">
        <v>2.2999999999999998</v>
      </c>
      <c r="J19" s="130">
        <f t="shared" si="0"/>
        <v>2.2999999999999998</v>
      </c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</row>
    <row r="20" spans="1:61" ht="12.75" customHeight="1" x14ac:dyDescent="0.25">
      <c r="A20" s="280" t="s">
        <v>187</v>
      </c>
      <c r="B20" s="280"/>
      <c r="C20" s="280"/>
      <c r="D20" s="281" t="s">
        <v>188</v>
      </c>
      <c r="E20" s="281"/>
      <c r="F20" s="281"/>
      <c r="G20" s="129" t="s">
        <v>189</v>
      </c>
      <c r="H20" s="129">
        <v>1</v>
      </c>
      <c r="I20" s="170">
        <v>25.47</v>
      </c>
      <c r="J20" s="130">
        <f t="shared" si="0"/>
        <v>25.47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</row>
    <row r="21" spans="1:61" ht="12.75" customHeight="1" x14ac:dyDescent="0.25">
      <c r="A21" s="280" t="s">
        <v>226</v>
      </c>
      <c r="B21" s="280"/>
      <c r="C21" s="280"/>
      <c r="D21" s="281" t="s">
        <v>190</v>
      </c>
      <c r="E21" s="281"/>
      <c r="F21" s="281"/>
      <c r="G21" s="129" t="s">
        <v>191</v>
      </c>
      <c r="H21" s="129">
        <v>0.15</v>
      </c>
      <c r="I21" s="170">
        <v>20.85</v>
      </c>
      <c r="J21" s="130">
        <f t="shared" si="0"/>
        <v>3.1274999999999999</v>
      </c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</row>
    <row r="22" spans="1:61" ht="12.75" customHeight="1" x14ac:dyDescent="0.25">
      <c r="A22" s="280" t="s">
        <v>192</v>
      </c>
      <c r="B22" s="280"/>
      <c r="C22" s="280"/>
      <c r="D22" s="281" t="s">
        <v>193</v>
      </c>
      <c r="E22" s="281"/>
      <c r="F22" s="281"/>
      <c r="G22" s="129" t="s">
        <v>189</v>
      </c>
      <c r="H22" s="129">
        <v>2</v>
      </c>
      <c r="I22" s="170">
        <v>18.23</v>
      </c>
      <c r="J22" s="130">
        <f t="shared" si="0"/>
        <v>36.46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</row>
    <row r="23" spans="1:61" thickBot="1" x14ac:dyDescent="0.3">
      <c r="A23" s="282" t="s">
        <v>194</v>
      </c>
      <c r="B23" s="282"/>
      <c r="C23" s="282"/>
      <c r="D23" s="282"/>
      <c r="E23" s="282"/>
      <c r="F23" s="282"/>
      <c r="G23" s="282"/>
      <c r="H23" s="282"/>
      <c r="I23" s="282"/>
      <c r="J23" s="131">
        <f>J17+J18+J19+J20+J21+J22</f>
        <v>465.47749999999996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61" ht="16.5" thickBot="1" x14ac:dyDescent="0.3">
      <c r="A24" s="289" t="s">
        <v>4</v>
      </c>
      <c r="B24" s="289"/>
      <c r="C24" s="289"/>
      <c r="D24" s="289" t="s">
        <v>174</v>
      </c>
      <c r="E24" s="289"/>
      <c r="F24" s="289"/>
      <c r="G24" s="289"/>
      <c r="H24" s="289"/>
      <c r="I24" s="289"/>
      <c r="J24" s="122" t="s">
        <v>6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</row>
    <row r="25" spans="1:61" ht="26.45" customHeight="1" thickBot="1" x14ac:dyDescent="0.3">
      <c r="A25" s="123" t="s">
        <v>31</v>
      </c>
      <c r="B25" s="124" t="s">
        <v>175</v>
      </c>
      <c r="C25" s="125" t="s">
        <v>36</v>
      </c>
      <c r="D25" s="290" t="s">
        <v>195</v>
      </c>
      <c r="E25" s="290"/>
      <c r="F25" s="290"/>
      <c r="G25" s="290"/>
      <c r="H25" s="290"/>
      <c r="I25" s="290"/>
      <c r="J25" s="126" t="s">
        <v>38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</row>
    <row r="26" spans="1:61" ht="16.5" thickBot="1" x14ac:dyDescent="0.3">
      <c r="A26" s="291" t="s">
        <v>176</v>
      </c>
      <c r="B26" s="291"/>
      <c r="C26" s="291"/>
      <c r="D26" s="291"/>
      <c r="E26" s="291"/>
      <c r="F26" s="291"/>
      <c r="G26" s="291"/>
      <c r="H26" s="291"/>
      <c r="I26" s="291"/>
      <c r="J26" s="291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</row>
    <row r="27" spans="1:61" ht="15" x14ac:dyDescent="0.25">
      <c r="A27" s="286" t="s">
        <v>4</v>
      </c>
      <c r="B27" s="286"/>
      <c r="C27" s="286"/>
      <c r="D27" s="287" t="s">
        <v>177</v>
      </c>
      <c r="E27" s="287"/>
      <c r="F27" s="287"/>
      <c r="G27" s="127" t="s">
        <v>6</v>
      </c>
      <c r="H27" s="127" t="s">
        <v>178</v>
      </c>
      <c r="I27" s="127" t="s">
        <v>179</v>
      </c>
      <c r="J27" s="128" t="s">
        <v>180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</row>
    <row r="28" spans="1:61" ht="15" x14ac:dyDescent="0.25">
      <c r="A28" s="288" t="s">
        <v>196</v>
      </c>
      <c r="B28" s="288"/>
      <c r="C28" s="288"/>
      <c r="D28" s="280" t="s">
        <v>197</v>
      </c>
      <c r="E28" s="280"/>
      <c r="F28" s="280"/>
      <c r="G28" s="129" t="s">
        <v>189</v>
      </c>
      <c r="H28" s="129">
        <v>2.7E-2</v>
      </c>
      <c r="I28" s="170">
        <v>30.91</v>
      </c>
      <c r="J28" s="130">
        <f t="shared" ref="J28:J33" si="1">I28*H28</f>
        <v>0.83457000000000003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</row>
    <row r="29" spans="1:61" ht="15" x14ac:dyDescent="0.25">
      <c r="A29" s="288" t="s">
        <v>198</v>
      </c>
      <c r="B29" s="288"/>
      <c r="C29" s="288"/>
      <c r="D29" s="280" t="s">
        <v>199</v>
      </c>
      <c r="E29" s="280"/>
      <c r="F29" s="280"/>
      <c r="G29" s="129" t="s">
        <v>189</v>
      </c>
      <c r="H29" s="129">
        <v>5.5E-2</v>
      </c>
      <c r="I29" s="170">
        <v>14.75</v>
      </c>
      <c r="J29" s="130">
        <f t="shared" si="1"/>
        <v>0.81125000000000003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</row>
    <row r="30" spans="1:61" ht="24" customHeight="1" x14ac:dyDescent="0.25">
      <c r="A30" s="280" t="s">
        <v>227</v>
      </c>
      <c r="B30" s="280"/>
      <c r="C30" s="280"/>
      <c r="D30" s="281" t="s">
        <v>200</v>
      </c>
      <c r="E30" s="281"/>
      <c r="F30" s="281"/>
      <c r="G30" s="129" t="s">
        <v>189</v>
      </c>
      <c r="H30" s="129">
        <v>5.5E-2</v>
      </c>
      <c r="I30" s="170">
        <v>7.0000000000000007E-2</v>
      </c>
      <c r="J30" s="130">
        <f t="shared" si="1"/>
        <v>3.8500000000000006E-3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</row>
    <row r="31" spans="1:61" ht="24" customHeight="1" x14ac:dyDescent="0.25">
      <c r="A31" s="280" t="s">
        <v>228</v>
      </c>
      <c r="B31" s="280"/>
      <c r="C31" s="280"/>
      <c r="D31" s="281" t="s">
        <v>201</v>
      </c>
      <c r="E31" s="281"/>
      <c r="F31" s="281"/>
      <c r="G31" s="129" t="s">
        <v>189</v>
      </c>
      <c r="H31" s="129">
        <v>5.5E-2</v>
      </c>
      <c r="I31" s="170">
        <v>0.62</v>
      </c>
      <c r="J31" s="130">
        <f t="shared" si="1"/>
        <v>3.4099999999999998E-2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</row>
    <row r="32" spans="1:61" ht="24" customHeight="1" x14ac:dyDescent="0.25">
      <c r="A32" s="280" t="s">
        <v>202</v>
      </c>
      <c r="B32" s="280"/>
      <c r="C32" s="280"/>
      <c r="D32" s="281" t="s">
        <v>203</v>
      </c>
      <c r="E32" s="281"/>
      <c r="F32" s="281"/>
      <c r="G32" s="129" t="s">
        <v>189</v>
      </c>
      <c r="H32" s="129">
        <v>2.7E-2</v>
      </c>
      <c r="I32" s="170">
        <v>2.25</v>
      </c>
      <c r="J32" s="130">
        <f t="shared" si="1"/>
        <v>6.0749999999999998E-2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</row>
    <row r="33" spans="1:61" ht="12.75" customHeight="1" x14ac:dyDescent="0.25">
      <c r="A33" s="280" t="s">
        <v>204</v>
      </c>
      <c r="B33" s="280"/>
      <c r="C33" s="280"/>
      <c r="D33" s="281" t="s">
        <v>205</v>
      </c>
      <c r="E33" s="281"/>
      <c r="F33" s="281"/>
      <c r="G33" s="129" t="s">
        <v>189</v>
      </c>
      <c r="H33" s="129">
        <v>0.01</v>
      </c>
      <c r="I33" s="170">
        <v>19.07</v>
      </c>
      <c r="J33" s="130">
        <f t="shared" si="1"/>
        <v>0.19070000000000001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</row>
    <row r="34" spans="1:61" thickBot="1" x14ac:dyDescent="0.3">
      <c r="A34" s="282" t="s">
        <v>194</v>
      </c>
      <c r="B34" s="282"/>
      <c r="C34" s="282"/>
      <c r="D34" s="282"/>
      <c r="E34" s="282"/>
      <c r="F34" s="282"/>
      <c r="G34" s="282"/>
      <c r="H34" s="282"/>
      <c r="I34" s="282"/>
      <c r="J34" s="131">
        <f>J28+J29+J30+J31+J32+J33</f>
        <v>1.9352200000000002</v>
      </c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</row>
  </sheetData>
  <mergeCells count="43">
    <mergeCell ref="A1:C4"/>
    <mergeCell ref="D1:J4"/>
    <mergeCell ref="A12:J12"/>
    <mergeCell ref="A13:C13"/>
    <mergeCell ref="D13:I13"/>
    <mergeCell ref="D14:I14"/>
    <mergeCell ref="A15:J15"/>
    <mergeCell ref="A16:C16"/>
    <mergeCell ref="D16:F16"/>
    <mergeCell ref="A17:C17"/>
    <mergeCell ref="D17:F17"/>
    <mergeCell ref="A18:C18"/>
    <mergeCell ref="D18:F18"/>
    <mergeCell ref="A19:C19"/>
    <mergeCell ref="D19:F19"/>
    <mergeCell ref="A20:C20"/>
    <mergeCell ref="D20:F20"/>
    <mergeCell ref="A21:C21"/>
    <mergeCell ref="D21:F21"/>
    <mergeCell ref="A22:C22"/>
    <mergeCell ref="D22:F22"/>
    <mergeCell ref="D29:F29"/>
    <mergeCell ref="A23:I23"/>
    <mergeCell ref="A24:C24"/>
    <mergeCell ref="D24:I24"/>
    <mergeCell ref="D25:I25"/>
    <mergeCell ref="A26:J26"/>
    <mergeCell ref="A33:C33"/>
    <mergeCell ref="D33:F33"/>
    <mergeCell ref="A34:I34"/>
    <mergeCell ref="A11:J11"/>
    <mergeCell ref="A5:J10"/>
    <mergeCell ref="A30:C30"/>
    <mergeCell ref="D30:F30"/>
    <mergeCell ref="A31:C31"/>
    <mergeCell ref="D31:F31"/>
    <mergeCell ref="A32:C32"/>
    <mergeCell ref="D32:F32"/>
    <mergeCell ref="A27:C27"/>
    <mergeCell ref="D27:F27"/>
    <mergeCell ref="A28:C28"/>
    <mergeCell ref="D28:F28"/>
    <mergeCell ref="A29:C2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8558E-771A-4F4C-81A3-77111B4BC6A8}">
  <sheetPr>
    <pageSetUpPr fitToPage="1"/>
  </sheetPr>
  <dimension ref="A1:BG33"/>
  <sheetViews>
    <sheetView zoomScaleNormal="100" workbookViewId="0">
      <selection activeCell="E8" sqref="E8"/>
    </sheetView>
  </sheetViews>
  <sheetFormatPr defaultColWidth="9.140625" defaultRowHeight="15.75" x14ac:dyDescent="0.25"/>
  <cols>
    <col min="1" max="1" width="52.85546875" style="3" customWidth="1"/>
    <col min="2" max="2" width="11" style="1" customWidth="1"/>
    <col min="3" max="3" width="9.5703125" style="4" customWidth="1"/>
    <col min="4" max="4" width="12.42578125" style="5" customWidth="1"/>
    <col min="5" max="5" width="14.140625" style="5" customWidth="1"/>
    <col min="6" max="6" width="12.42578125" style="6" customWidth="1"/>
    <col min="7" max="7" width="12.42578125" style="5" customWidth="1"/>
    <col min="8" max="8" width="14.140625" style="5" customWidth="1"/>
    <col min="9" max="9" width="12.7109375" style="1" customWidth="1"/>
    <col min="10" max="10" width="13.28515625" style="1" customWidth="1"/>
    <col min="11" max="11" width="12" style="1" customWidth="1"/>
    <col min="12" max="14" width="9.140625" style="1"/>
    <col min="15" max="15" width="12.42578125" style="1" customWidth="1"/>
    <col min="16" max="16" width="11.140625" style="1" customWidth="1"/>
    <col min="17" max="17" width="12.7109375" style="1" customWidth="1"/>
    <col min="18" max="59" width="9.140625" style="1"/>
  </cols>
  <sheetData>
    <row r="1" spans="1:59" ht="16.5" customHeight="1" x14ac:dyDescent="0.25">
      <c r="A1" s="296" t="s">
        <v>0</v>
      </c>
      <c r="B1" s="297"/>
      <c r="C1" s="297"/>
      <c r="D1" s="297"/>
      <c r="E1" s="297"/>
      <c r="F1" s="297"/>
      <c r="G1" s="297"/>
      <c r="H1" s="297"/>
      <c r="I1" s="297"/>
      <c r="J1" s="297"/>
      <c r="K1" s="298"/>
    </row>
    <row r="2" spans="1:59" ht="17.25" customHeight="1" x14ac:dyDescent="0.25">
      <c r="A2" s="294"/>
      <c r="B2" s="295"/>
      <c r="C2" s="295"/>
      <c r="D2" s="295"/>
      <c r="E2" s="295"/>
      <c r="F2" s="295"/>
      <c r="G2" s="295"/>
      <c r="H2" s="295"/>
      <c r="I2" s="295"/>
      <c r="J2" s="295"/>
      <c r="K2" s="299"/>
    </row>
    <row r="3" spans="1:59" ht="17.25" customHeight="1" x14ac:dyDescent="0.25">
      <c r="A3" s="294"/>
      <c r="B3" s="295"/>
      <c r="C3" s="295"/>
      <c r="D3" s="295"/>
      <c r="E3" s="295"/>
      <c r="F3" s="295"/>
      <c r="G3" s="295"/>
      <c r="H3" s="295"/>
      <c r="I3" s="295"/>
      <c r="J3" s="295"/>
      <c r="K3" s="299"/>
    </row>
    <row r="4" spans="1:59" ht="17.25" customHeight="1" thickBot="1" x14ac:dyDescent="0.3">
      <c r="A4" s="300"/>
      <c r="B4" s="301"/>
      <c r="C4" s="301"/>
      <c r="D4" s="301"/>
      <c r="E4" s="301"/>
      <c r="F4" s="301"/>
      <c r="G4" s="301"/>
      <c r="H4" s="301"/>
      <c r="I4" s="301"/>
      <c r="J4" s="301"/>
      <c r="K4" s="302"/>
    </row>
    <row r="5" spans="1:59" ht="27.6" customHeight="1" thickBot="1" x14ac:dyDescent="0.3">
      <c r="A5" s="303" t="s">
        <v>233</v>
      </c>
      <c r="B5" s="304"/>
      <c r="C5" s="304"/>
      <c r="D5" s="304"/>
      <c r="E5" s="304"/>
      <c r="F5" s="304"/>
      <c r="G5" s="304"/>
      <c r="H5" s="304"/>
      <c r="I5" s="305"/>
      <c r="J5" s="305"/>
      <c r="K5" s="306"/>
      <c r="N5" s="327" t="s">
        <v>237</v>
      </c>
      <c r="O5" s="328"/>
      <c r="P5" s="328"/>
      <c r="Q5" s="329"/>
    </row>
    <row r="6" spans="1:59" ht="47.25" x14ac:dyDescent="0.25">
      <c r="A6" s="307" t="s">
        <v>5</v>
      </c>
      <c r="B6" s="308" t="s">
        <v>6</v>
      </c>
      <c r="C6" s="309" t="s">
        <v>7</v>
      </c>
      <c r="D6" s="310" t="s">
        <v>9</v>
      </c>
      <c r="E6" s="310" t="s">
        <v>10</v>
      </c>
      <c r="F6" s="311" t="s">
        <v>11</v>
      </c>
      <c r="G6" s="310" t="s">
        <v>12</v>
      </c>
      <c r="H6" s="312" t="s">
        <v>13</v>
      </c>
      <c r="I6" s="321" t="s">
        <v>234</v>
      </c>
      <c r="J6" s="322" t="s">
        <v>235</v>
      </c>
      <c r="K6" s="323" t="s">
        <v>236</v>
      </c>
      <c r="L6" s="13"/>
      <c r="M6" s="13"/>
      <c r="N6" s="330" t="s">
        <v>238</v>
      </c>
      <c r="O6" s="330" t="s">
        <v>239</v>
      </c>
      <c r="P6" s="331" t="s">
        <v>240</v>
      </c>
      <c r="Q6" s="331" t="s">
        <v>241</v>
      </c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</row>
    <row r="7" spans="1:59" ht="54.75" customHeight="1" x14ac:dyDescent="0.25">
      <c r="A7" s="313" t="s">
        <v>47</v>
      </c>
      <c r="B7" s="204" t="s">
        <v>43</v>
      </c>
      <c r="C7" s="203">
        <f>'PLANILHA ORÇAMENTÁRIA'!F19</f>
        <v>1773.0124499999999</v>
      </c>
      <c r="D7" s="202">
        <v>16.23</v>
      </c>
      <c r="E7" s="202">
        <f t="shared" ref="E7:E32" si="0">D7*C7</f>
        <v>28775.992063499998</v>
      </c>
      <c r="F7" s="205">
        <v>0.2495</v>
      </c>
      <c r="G7" s="202">
        <f t="shared" ref="G7:G32" si="1">D7+(D7*F7)</f>
        <v>20.279385000000001</v>
      </c>
      <c r="H7" s="314">
        <f t="shared" ref="H7:H32" si="2">G7*C7</f>
        <v>35955.602083343249</v>
      </c>
      <c r="I7" s="324">
        <f>H7/$H$33</f>
        <v>0.20061369003155485</v>
      </c>
      <c r="J7" s="179">
        <f>I7</f>
        <v>0.20061369003155485</v>
      </c>
      <c r="K7" s="340" t="str">
        <f>IF(J7&lt;=$O$7,"A",IF(J7&lt;=$O$8,"B","C"))</f>
        <v>A</v>
      </c>
      <c r="L7" s="17"/>
      <c r="M7" s="17"/>
      <c r="N7" s="332" t="s">
        <v>242</v>
      </c>
      <c r="O7" s="333">
        <v>0.85</v>
      </c>
      <c r="P7" s="334">
        <f>COUNTIF($K$7:$K$32,N7)/COUNTA($K$7:$K$32)</f>
        <v>0.38461538461538464</v>
      </c>
      <c r="Q7" s="335">
        <f>SUMIF($K$7:$K$32,N7,$I$7:$I$32)</f>
        <v>0.838426886479817</v>
      </c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</row>
    <row r="8" spans="1:59" ht="36.75" customHeight="1" x14ac:dyDescent="0.25">
      <c r="A8" s="313" t="s">
        <v>78</v>
      </c>
      <c r="B8" s="204" t="s">
        <v>20</v>
      </c>
      <c r="C8" s="203">
        <f>'PLANILHA ORÇAMENTÁRIA'!F30</f>
        <v>602</v>
      </c>
      <c r="D8" s="202">
        <v>38.159999999999997</v>
      </c>
      <c r="E8" s="202">
        <f t="shared" si="0"/>
        <v>22972.32</v>
      </c>
      <c r="F8" s="205">
        <v>0.2495</v>
      </c>
      <c r="G8" s="202">
        <f t="shared" si="1"/>
        <v>47.680919999999993</v>
      </c>
      <c r="H8" s="314">
        <f t="shared" si="2"/>
        <v>28703.913839999997</v>
      </c>
      <c r="I8" s="324">
        <f t="shared" ref="I8:I32" si="3">H8/$H$33</f>
        <v>0.16015301483319747</v>
      </c>
      <c r="J8" s="179">
        <f>I8+J7</f>
        <v>0.36076670486475232</v>
      </c>
      <c r="K8" s="340" t="str">
        <f t="shared" ref="K8:K32" si="4">IF(J8&lt;=$O$7,"A",IF(J8&lt;=$O$8,"B","C"))</f>
        <v>A</v>
      </c>
      <c r="L8" s="17"/>
      <c r="M8" s="17"/>
      <c r="N8" s="332" t="s">
        <v>243</v>
      </c>
      <c r="O8" s="333">
        <v>0.95</v>
      </c>
      <c r="P8" s="334">
        <f>COUNTIF($K$7:$K$32,N8)/COUNTA($K$7:$K$32)</f>
        <v>0.26923076923076922</v>
      </c>
      <c r="Q8" s="335">
        <f>SUMIF($K$7:$K$32,N8,$I$7:$I$32)</f>
        <v>0.11136290603165154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</row>
    <row r="9" spans="1:59" ht="38.25" x14ac:dyDescent="0.25">
      <c r="A9" s="313" t="s">
        <v>69</v>
      </c>
      <c r="B9" s="204" t="s">
        <v>43</v>
      </c>
      <c r="C9" s="203">
        <f>'PLANILHA ORÇAMENTÁRIA'!F27</f>
        <v>36.119999999999997</v>
      </c>
      <c r="D9" s="202">
        <v>499.01</v>
      </c>
      <c r="E9" s="202">
        <f t="shared" si="0"/>
        <v>18024.241199999997</v>
      </c>
      <c r="F9" s="205">
        <v>0.2495</v>
      </c>
      <c r="G9" s="202">
        <f t="shared" si="1"/>
        <v>623.51299500000005</v>
      </c>
      <c r="H9" s="314">
        <f t="shared" si="2"/>
        <v>22521.289379400001</v>
      </c>
      <c r="I9" s="324">
        <f t="shared" si="3"/>
        <v>0.12565716341495892</v>
      </c>
      <c r="J9" s="179">
        <f t="shared" ref="J9:J32" si="5">I9+J8</f>
        <v>0.48642386827971124</v>
      </c>
      <c r="K9" s="340" t="str">
        <f t="shared" si="4"/>
        <v>A</v>
      </c>
      <c r="L9" s="17"/>
      <c r="M9" s="17"/>
      <c r="N9" s="332" t="s">
        <v>244</v>
      </c>
      <c r="O9" s="333">
        <v>1</v>
      </c>
      <c r="P9" s="334">
        <f>COUNTIF($K$7:$K$32,N9)/COUNTA($K$7:$K$32)</f>
        <v>0.34615384615384615</v>
      </c>
      <c r="Q9" s="335">
        <f>SUMIF($K$7:$K$32,N9,$I$7:$I$32)</f>
        <v>5.0210207488531292E-2</v>
      </c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</row>
    <row r="10" spans="1:59" ht="38.25" x14ac:dyDescent="0.25">
      <c r="A10" s="313" t="s">
        <v>57</v>
      </c>
      <c r="B10" s="204" t="s">
        <v>58</v>
      </c>
      <c r="C10" s="203">
        <f>'PLANILHA ORÇAMENTÁRIA'!F22</f>
        <v>4835.4884999999995</v>
      </c>
      <c r="D10" s="202">
        <v>2.88</v>
      </c>
      <c r="E10" s="202">
        <f t="shared" si="0"/>
        <v>13926.206879999998</v>
      </c>
      <c r="F10" s="205">
        <v>0.2495</v>
      </c>
      <c r="G10" s="202">
        <f t="shared" si="1"/>
        <v>3.59856</v>
      </c>
      <c r="H10" s="314">
        <f t="shared" si="2"/>
        <v>17400.795496559997</v>
      </c>
      <c r="I10" s="324">
        <f t="shared" si="3"/>
        <v>9.7087452073748595E-2</v>
      </c>
      <c r="J10" s="179">
        <f t="shared" si="5"/>
        <v>0.58351132035345987</v>
      </c>
      <c r="K10" s="340" t="str">
        <f t="shared" si="4"/>
        <v>A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</row>
    <row r="11" spans="1:59" ht="25.5" x14ac:dyDescent="0.25">
      <c r="A11" s="313" t="s">
        <v>42</v>
      </c>
      <c r="B11" s="204" t="s">
        <v>43</v>
      </c>
      <c r="C11" s="203">
        <f>'PLANILHA ORÇAMENTÁRIA'!F18</f>
        <v>1611.8294999999998</v>
      </c>
      <c r="D11" s="202">
        <v>5.05</v>
      </c>
      <c r="E11" s="202">
        <f t="shared" si="0"/>
        <v>8139.7389749999984</v>
      </c>
      <c r="F11" s="205">
        <v>0.2495</v>
      </c>
      <c r="G11" s="202">
        <f t="shared" si="1"/>
        <v>6.3099749999999997</v>
      </c>
      <c r="H11" s="314">
        <f t="shared" si="2"/>
        <v>10170.603849262498</v>
      </c>
      <c r="I11" s="324">
        <f t="shared" si="3"/>
        <v>5.6746716779216479E-2</v>
      </c>
      <c r="J11" s="179">
        <f t="shared" si="5"/>
        <v>0.64025803713267637</v>
      </c>
      <c r="K11" s="340" t="str">
        <f t="shared" si="4"/>
        <v>A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</row>
    <row r="12" spans="1:59" s="133" customFormat="1" ht="38.25" x14ac:dyDescent="0.25">
      <c r="A12" s="313" t="s">
        <v>29</v>
      </c>
      <c r="B12" s="204" t="s">
        <v>20</v>
      </c>
      <c r="C12" s="203">
        <f>'PLANILHA ORÇAMENTÁRIA'!F16</f>
        <v>7.5</v>
      </c>
      <c r="D12" s="202">
        <v>943.86</v>
      </c>
      <c r="E12" s="202">
        <f t="shared" si="0"/>
        <v>7078.95</v>
      </c>
      <c r="F12" s="205">
        <v>0.2495</v>
      </c>
      <c r="G12" s="202">
        <f t="shared" si="1"/>
        <v>1179.3530700000001</v>
      </c>
      <c r="H12" s="314">
        <f t="shared" si="2"/>
        <v>8845.1480250000004</v>
      </c>
      <c r="I12" s="324">
        <f t="shared" si="3"/>
        <v>4.935135782339195E-2</v>
      </c>
      <c r="J12" s="179">
        <f t="shared" si="5"/>
        <v>0.68960939495606832</v>
      </c>
      <c r="K12" s="340" t="str">
        <f t="shared" si="4"/>
        <v>A</v>
      </c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</row>
    <row r="13" spans="1:59" ht="38.25" x14ac:dyDescent="0.25">
      <c r="A13" s="313" t="s">
        <v>72</v>
      </c>
      <c r="B13" s="204" t="s">
        <v>20</v>
      </c>
      <c r="C13" s="203">
        <f>'PLANILHA ORÇAMENTÁRIA'!F28</f>
        <v>602</v>
      </c>
      <c r="D13" s="202">
        <v>11.25</v>
      </c>
      <c r="E13" s="202">
        <f t="shared" si="0"/>
        <v>6772.5</v>
      </c>
      <c r="F13" s="205">
        <v>0.2495</v>
      </c>
      <c r="G13" s="202">
        <f t="shared" si="1"/>
        <v>14.056875</v>
      </c>
      <c r="H13" s="314">
        <f t="shared" si="2"/>
        <v>8462.2387500000004</v>
      </c>
      <c r="I13" s="324">
        <f t="shared" si="3"/>
        <v>4.7214921825824735E-2</v>
      </c>
      <c r="J13" s="179">
        <f t="shared" si="5"/>
        <v>0.73682431678189308</v>
      </c>
      <c r="K13" s="340" t="str">
        <f t="shared" si="4"/>
        <v>A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</row>
    <row r="14" spans="1:59" ht="51" x14ac:dyDescent="0.25">
      <c r="A14" s="313" t="s">
        <v>101</v>
      </c>
      <c r="B14" s="204" t="s">
        <v>20</v>
      </c>
      <c r="C14" s="203">
        <f>'PLANILHA ORÇAMENTÁRIA'!F38</f>
        <v>149.47699999999998</v>
      </c>
      <c r="D14" s="202">
        <v>42.33</v>
      </c>
      <c r="E14" s="202">
        <f t="shared" si="0"/>
        <v>6327.3614099999986</v>
      </c>
      <c r="F14" s="205">
        <v>0.2495</v>
      </c>
      <c r="G14" s="202">
        <f t="shared" si="1"/>
        <v>52.891334999999998</v>
      </c>
      <c r="H14" s="314">
        <f t="shared" si="2"/>
        <v>7906.0380817949981</v>
      </c>
      <c r="I14" s="324">
        <f t="shared" si="3"/>
        <v>4.4111609352069404E-2</v>
      </c>
      <c r="J14" s="179">
        <f t="shared" si="5"/>
        <v>0.78093592613396245</v>
      </c>
      <c r="K14" s="340" t="str">
        <f t="shared" si="4"/>
        <v>A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</row>
    <row r="15" spans="1:59" s="133" customFormat="1" ht="38.25" x14ac:dyDescent="0.25">
      <c r="A15" s="313" t="s">
        <v>111</v>
      </c>
      <c r="B15" s="204" t="s">
        <v>20</v>
      </c>
      <c r="C15" s="203">
        <f>'PLANILHA ORÇAMENTÁRIA'!F42</f>
        <v>82.896000000000015</v>
      </c>
      <c r="D15" s="202">
        <v>50.83</v>
      </c>
      <c r="E15" s="202">
        <f t="shared" si="0"/>
        <v>4213.6036800000002</v>
      </c>
      <c r="F15" s="205">
        <v>0.2495</v>
      </c>
      <c r="G15" s="202">
        <f t="shared" si="1"/>
        <v>63.512084999999999</v>
      </c>
      <c r="H15" s="314">
        <f t="shared" si="2"/>
        <v>5264.897798160001</v>
      </c>
      <c r="I15" s="324">
        <f t="shared" si="3"/>
        <v>2.9375410609997408E-2</v>
      </c>
      <c r="J15" s="179">
        <f t="shared" si="5"/>
        <v>0.81031133674395983</v>
      </c>
      <c r="K15" s="340" t="str">
        <f t="shared" si="4"/>
        <v>A</v>
      </c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</row>
    <row r="16" spans="1:59" ht="55.5" customHeight="1" x14ac:dyDescent="0.25">
      <c r="A16" s="313" t="s">
        <v>75</v>
      </c>
      <c r="B16" s="204" t="s">
        <v>20</v>
      </c>
      <c r="C16" s="203">
        <f>'PLANILHA ORÇAMENTÁRIA'!F34</f>
        <v>149.47699999999998</v>
      </c>
      <c r="D16" s="202">
        <v>26.98</v>
      </c>
      <c r="E16" s="202">
        <f t="shared" si="0"/>
        <v>4032.8894599999994</v>
      </c>
      <c r="F16" s="205">
        <v>0.2495</v>
      </c>
      <c r="G16" s="202">
        <f t="shared" si="1"/>
        <v>33.711510000000004</v>
      </c>
      <c r="H16" s="314">
        <f t="shared" si="2"/>
        <v>5039.0953802699996</v>
      </c>
      <c r="I16" s="324">
        <f t="shared" si="3"/>
        <v>2.8115549735857143E-2</v>
      </c>
      <c r="J16" s="179">
        <f t="shared" si="5"/>
        <v>0.838426886479817</v>
      </c>
      <c r="K16" s="340" t="str">
        <f t="shared" si="4"/>
        <v>A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</row>
    <row r="17" spans="1:59" s="133" customFormat="1" ht="38.25" x14ac:dyDescent="0.25">
      <c r="A17" s="313" t="s">
        <v>99</v>
      </c>
      <c r="B17" s="204" t="s">
        <v>20</v>
      </c>
      <c r="C17" s="203">
        <f>'PLANILHA ORÇAMENTÁRIA'!F37</f>
        <v>149.47699999999998</v>
      </c>
      <c r="D17" s="202">
        <v>21.3</v>
      </c>
      <c r="E17" s="202">
        <f t="shared" si="0"/>
        <v>3183.8600999999994</v>
      </c>
      <c r="F17" s="205">
        <v>0.2495</v>
      </c>
      <c r="G17" s="202">
        <f t="shared" si="1"/>
        <v>26.614350000000002</v>
      </c>
      <c r="H17" s="314">
        <f t="shared" si="2"/>
        <v>3978.2331949499994</v>
      </c>
      <c r="I17" s="324">
        <f t="shared" si="3"/>
        <v>2.2196486633571426E-2</v>
      </c>
      <c r="J17" s="179">
        <f t="shared" si="5"/>
        <v>0.86062337311338843</v>
      </c>
      <c r="K17" s="340" t="str">
        <f t="shared" si="4"/>
        <v>B</v>
      </c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</row>
    <row r="18" spans="1:59" ht="25.5" x14ac:dyDescent="0.25">
      <c r="A18" s="313" t="s">
        <v>106</v>
      </c>
      <c r="B18" s="204" t="s">
        <v>107</v>
      </c>
      <c r="C18" s="203">
        <f>'PLANILHA ORÇAMENTÁRIA'!F41</f>
        <v>65.8</v>
      </c>
      <c r="D18" s="202">
        <v>43.83</v>
      </c>
      <c r="E18" s="202">
        <f t="shared" si="0"/>
        <v>2884.0139999999997</v>
      </c>
      <c r="F18" s="205">
        <v>0.2495</v>
      </c>
      <c r="G18" s="202">
        <f t="shared" si="1"/>
        <v>54.765585000000002</v>
      </c>
      <c r="H18" s="314">
        <f t="shared" si="2"/>
        <v>3603.5754929999998</v>
      </c>
      <c r="I18" s="324">
        <f t="shared" si="3"/>
        <v>2.0106090152024227E-2</v>
      </c>
      <c r="J18" s="179">
        <f t="shared" si="5"/>
        <v>0.88072946326541268</v>
      </c>
      <c r="K18" s="340" t="str">
        <f t="shared" si="4"/>
        <v>B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</row>
    <row r="19" spans="1:59" s="133" customFormat="1" ht="25.5" x14ac:dyDescent="0.25">
      <c r="A19" s="313" t="s">
        <v>75</v>
      </c>
      <c r="B19" s="204" t="s">
        <v>20</v>
      </c>
      <c r="C19" s="203">
        <f>'PLANILHA ORÇAMENTÁRIA'!F45</f>
        <v>82.896000000000015</v>
      </c>
      <c r="D19" s="202">
        <v>26.98</v>
      </c>
      <c r="E19" s="202">
        <f t="shared" si="0"/>
        <v>2236.5340800000004</v>
      </c>
      <c r="F19" s="205">
        <v>0.2495</v>
      </c>
      <c r="G19" s="202">
        <f t="shared" si="1"/>
        <v>33.711510000000004</v>
      </c>
      <c r="H19" s="314">
        <f t="shared" si="2"/>
        <v>2794.5493329600008</v>
      </c>
      <c r="I19" s="324">
        <f t="shared" si="3"/>
        <v>1.5592142007824711E-2</v>
      </c>
      <c r="J19" s="179">
        <f t="shared" si="5"/>
        <v>0.89632160527323734</v>
      </c>
      <c r="K19" s="340" t="str">
        <f t="shared" si="4"/>
        <v>B</v>
      </c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</row>
    <row r="20" spans="1:59" s="133" customFormat="1" ht="25.5" x14ac:dyDescent="0.25">
      <c r="A20" s="313" t="s">
        <v>120</v>
      </c>
      <c r="B20" s="204" t="s">
        <v>20</v>
      </c>
      <c r="C20" s="203">
        <f>'PLANILHA ORÇAMENTÁRIA'!F45</f>
        <v>82.896000000000015</v>
      </c>
      <c r="D20" s="202">
        <v>26.98</v>
      </c>
      <c r="E20" s="202">
        <f t="shared" si="0"/>
        <v>2236.5340800000004</v>
      </c>
      <c r="F20" s="205">
        <v>0.2495</v>
      </c>
      <c r="G20" s="202">
        <f t="shared" si="1"/>
        <v>33.711510000000004</v>
      </c>
      <c r="H20" s="314">
        <f t="shared" si="2"/>
        <v>2794.5493329600008</v>
      </c>
      <c r="I20" s="324">
        <f t="shared" si="3"/>
        <v>1.5592142007824711E-2</v>
      </c>
      <c r="J20" s="179">
        <f t="shared" si="5"/>
        <v>0.911913747281062</v>
      </c>
      <c r="K20" s="340" t="str">
        <f t="shared" si="4"/>
        <v>B</v>
      </c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</row>
    <row r="21" spans="1:59" ht="25.5" x14ac:dyDescent="0.25">
      <c r="A21" s="313" t="s">
        <v>51</v>
      </c>
      <c r="B21" s="204" t="s">
        <v>43</v>
      </c>
      <c r="C21" s="203">
        <f>'PLANILHA ORÇAMENTÁRIA'!F20</f>
        <v>55.640000000000015</v>
      </c>
      <c r="D21" s="202">
        <v>33.03</v>
      </c>
      <c r="E21" s="202">
        <f t="shared" si="0"/>
        <v>1837.7892000000006</v>
      </c>
      <c r="F21" s="205">
        <v>0.2495</v>
      </c>
      <c r="G21" s="202">
        <f t="shared" si="1"/>
        <v>41.270985000000003</v>
      </c>
      <c r="H21" s="314">
        <f t="shared" si="2"/>
        <v>2296.317605400001</v>
      </c>
      <c r="I21" s="324">
        <f t="shared" si="3"/>
        <v>1.2812266284288668E-2</v>
      </c>
      <c r="J21" s="179">
        <f t="shared" si="5"/>
        <v>0.92472601356535067</v>
      </c>
      <c r="K21" s="340" t="str">
        <f t="shared" si="4"/>
        <v>B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</row>
    <row r="22" spans="1:59" ht="36.75" customHeight="1" x14ac:dyDescent="0.25">
      <c r="A22" s="313" t="s">
        <v>66</v>
      </c>
      <c r="B22" s="204" t="s">
        <v>43</v>
      </c>
      <c r="C22" s="203">
        <f>'PLANILHA ORÇAMENTÁRIA'!F26</f>
        <v>12.040000000000001</v>
      </c>
      <c r="D22" s="202">
        <v>149.6</v>
      </c>
      <c r="E22" s="202">
        <f t="shared" si="0"/>
        <v>1801.184</v>
      </c>
      <c r="F22" s="205">
        <v>0.2495</v>
      </c>
      <c r="G22" s="202">
        <f t="shared" si="1"/>
        <v>186.92519999999999</v>
      </c>
      <c r="H22" s="314">
        <f t="shared" si="2"/>
        <v>2250.5794080000001</v>
      </c>
      <c r="I22" s="324">
        <f t="shared" si="3"/>
        <v>1.2557070764699342E-2</v>
      </c>
      <c r="J22" s="179">
        <f t="shared" si="5"/>
        <v>0.93728308433005003</v>
      </c>
      <c r="K22" s="340" t="str">
        <f t="shared" si="4"/>
        <v>B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</row>
    <row r="23" spans="1:59" ht="38.25" x14ac:dyDescent="0.25">
      <c r="A23" s="313" t="s">
        <v>55</v>
      </c>
      <c r="B23" s="204" t="s">
        <v>20</v>
      </c>
      <c r="C23" s="203">
        <f>'PLANILHA ORÇAMENTÁRIA'!F21</f>
        <v>602</v>
      </c>
      <c r="D23" s="202">
        <v>2.98</v>
      </c>
      <c r="E23" s="202">
        <f t="shared" si="0"/>
        <v>1793.96</v>
      </c>
      <c r="F23" s="205">
        <v>0.2495</v>
      </c>
      <c r="G23" s="202">
        <f t="shared" si="1"/>
        <v>3.7235100000000001</v>
      </c>
      <c r="H23" s="314">
        <f t="shared" si="2"/>
        <v>2241.5530199999998</v>
      </c>
      <c r="I23" s="324">
        <f t="shared" si="3"/>
        <v>1.250670818141846E-2</v>
      </c>
      <c r="J23" s="179">
        <f t="shared" si="5"/>
        <v>0.94978979251146844</v>
      </c>
      <c r="K23" s="340" t="str">
        <f t="shared" si="4"/>
        <v>B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</row>
    <row r="24" spans="1:59" ht="51" x14ac:dyDescent="0.25">
      <c r="A24" s="313" t="s">
        <v>92</v>
      </c>
      <c r="B24" s="204" t="s">
        <v>20</v>
      </c>
      <c r="C24" s="203">
        <f>'PLANILHA ORÇAMENTÁRIA'!F35</f>
        <v>149.47699999999998</v>
      </c>
      <c r="D24" s="202">
        <v>11.54</v>
      </c>
      <c r="E24" s="202">
        <f t="shared" si="0"/>
        <v>1724.9645799999996</v>
      </c>
      <c r="F24" s="205">
        <v>0.2495</v>
      </c>
      <c r="G24" s="202">
        <f t="shared" si="1"/>
        <v>14.419229999999999</v>
      </c>
      <c r="H24" s="314">
        <f t="shared" si="2"/>
        <v>2155.3432427099997</v>
      </c>
      <c r="I24" s="324">
        <f t="shared" si="3"/>
        <v>1.2025702147953721E-2</v>
      </c>
      <c r="J24" s="179">
        <f t="shared" si="5"/>
        <v>0.96181549465942218</v>
      </c>
      <c r="K24" s="340" t="str">
        <f t="shared" si="4"/>
        <v>C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</row>
    <row r="25" spans="1:59" ht="40.5" customHeight="1" x14ac:dyDescent="0.25">
      <c r="A25" s="313" t="s">
        <v>19</v>
      </c>
      <c r="B25" s="204" t="s">
        <v>20</v>
      </c>
      <c r="C25" s="203">
        <f>'PLANILHA ORÇAMENTÁRIA'!F14</f>
        <v>602</v>
      </c>
      <c r="D25" s="202">
        <v>2.69</v>
      </c>
      <c r="E25" s="202">
        <f t="shared" si="0"/>
        <v>1619.3799999999999</v>
      </c>
      <c r="F25" s="205">
        <v>0.2495</v>
      </c>
      <c r="G25" s="202">
        <f t="shared" si="1"/>
        <v>3.3611550000000001</v>
      </c>
      <c r="H25" s="314">
        <f t="shared" si="2"/>
        <v>2023.4153100000001</v>
      </c>
      <c r="I25" s="324">
        <f t="shared" si="3"/>
        <v>1.1289612418797203E-2</v>
      </c>
      <c r="J25" s="179">
        <f t="shared" si="5"/>
        <v>0.9731051070782194</v>
      </c>
      <c r="K25" s="340" t="str">
        <f t="shared" si="4"/>
        <v>C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</row>
    <row r="26" spans="1:59" ht="25.5" x14ac:dyDescent="0.25">
      <c r="A26" s="313" t="s">
        <v>83</v>
      </c>
      <c r="B26" s="204" t="s">
        <v>43</v>
      </c>
      <c r="C26" s="203">
        <f>'PLANILHA ORÇAMENTÁRIA'!F32</f>
        <v>14.947699999999998</v>
      </c>
      <c r="D26" s="202">
        <v>98.82</v>
      </c>
      <c r="E26" s="202">
        <f t="shared" si="0"/>
        <v>1477.1317139999996</v>
      </c>
      <c r="F26" s="205">
        <v>0.2495</v>
      </c>
      <c r="G26" s="202">
        <f t="shared" si="1"/>
        <v>123.47558999999998</v>
      </c>
      <c r="H26" s="314">
        <f t="shared" si="2"/>
        <v>1845.6760766429995</v>
      </c>
      <c r="I26" s="324">
        <f t="shared" si="3"/>
        <v>1.0297919291687925E-2</v>
      </c>
      <c r="J26" s="179">
        <f t="shared" si="5"/>
        <v>0.98340302636990728</v>
      </c>
      <c r="K26" s="340" t="str">
        <f t="shared" si="4"/>
        <v>C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</row>
    <row r="27" spans="1:59" ht="15" x14ac:dyDescent="0.25">
      <c r="A27" s="313" t="s">
        <v>25</v>
      </c>
      <c r="B27" s="204" t="s">
        <v>20</v>
      </c>
      <c r="C27" s="203">
        <f>'PLANILHA ORÇAMENTÁRIA'!F15</f>
        <v>1.9800000000000002</v>
      </c>
      <c r="D27" s="202">
        <f>'COMPOSIÇÃO PRÓPRIA '!J23</f>
        <v>465.47749999999996</v>
      </c>
      <c r="E27" s="202">
        <f t="shared" si="0"/>
        <v>921.64544999999998</v>
      </c>
      <c r="F27" s="205">
        <v>0.2495</v>
      </c>
      <c r="G27" s="202">
        <f t="shared" si="1"/>
        <v>581.61413625</v>
      </c>
      <c r="H27" s="314">
        <f t="shared" si="2"/>
        <v>1151.5959897750001</v>
      </c>
      <c r="I27" s="324">
        <f t="shared" si="3"/>
        <v>6.4253108708567088E-3</v>
      </c>
      <c r="J27" s="179">
        <f t="shared" si="5"/>
        <v>0.98982833724076402</v>
      </c>
      <c r="K27" s="340" t="str">
        <f t="shared" si="4"/>
        <v>C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</row>
    <row r="28" spans="1:59" ht="38.25" x14ac:dyDescent="0.25">
      <c r="A28" s="313" t="s">
        <v>37</v>
      </c>
      <c r="B28" s="204" t="s">
        <v>38</v>
      </c>
      <c r="C28" s="203">
        <f>C25*0.5</f>
        <v>301</v>
      </c>
      <c r="D28" s="202">
        <f>'COMPOSIÇÃO PRÓPRIA '!J34</f>
        <v>1.9352200000000002</v>
      </c>
      <c r="E28" s="202">
        <f t="shared" si="0"/>
        <v>582.5012200000001</v>
      </c>
      <c r="F28" s="205">
        <v>0.2495</v>
      </c>
      <c r="G28" s="202">
        <f t="shared" si="1"/>
        <v>2.4180573900000004</v>
      </c>
      <c r="H28" s="314">
        <f t="shared" si="2"/>
        <v>727.83527439000011</v>
      </c>
      <c r="I28" s="324">
        <f t="shared" si="3"/>
        <v>4.0609449340343355E-3</v>
      </c>
      <c r="J28" s="179">
        <f t="shared" si="5"/>
        <v>0.99388928217479833</v>
      </c>
      <c r="K28" s="340" t="str">
        <f t="shared" si="4"/>
        <v>C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</row>
    <row r="29" spans="1:59" ht="25.5" x14ac:dyDescent="0.25">
      <c r="A29" s="313" t="s">
        <v>119</v>
      </c>
      <c r="B29" s="204" t="s">
        <v>116</v>
      </c>
      <c r="C29" s="203">
        <v>1</v>
      </c>
      <c r="D29" s="202">
        <v>326.41000000000003</v>
      </c>
      <c r="E29" s="202">
        <f t="shared" si="0"/>
        <v>326.41000000000003</v>
      </c>
      <c r="F29" s="205">
        <v>0.2495</v>
      </c>
      <c r="G29" s="202">
        <f t="shared" si="1"/>
        <v>407.84929500000004</v>
      </c>
      <c r="H29" s="314">
        <f t="shared" si="2"/>
        <v>407.84929500000004</v>
      </c>
      <c r="I29" s="324">
        <f t="shared" si="3"/>
        <v>2.2755884286699817E-3</v>
      </c>
      <c r="J29" s="179">
        <f t="shared" si="5"/>
        <v>0.99616487060346826</v>
      </c>
      <c r="K29" s="340" t="str">
        <f t="shared" si="4"/>
        <v>C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</row>
    <row r="30" spans="1:59" ht="51" x14ac:dyDescent="0.25">
      <c r="A30" s="313" t="s">
        <v>115</v>
      </c>
      <c r="B30" s="204" t="s">
        <v>116</v>
      </c>
      <c r="C30" s="203">
        <v>1</v>
      </c>
      <c r="D30" s="202">
        <v>270.94</v>
      </c>
      <c r="E30" s="202">
        <f t="shared" si="0"/>
        <v>270.94</v>
      </c>
      <c r="F30" s="205">
        <v>0.2495</v>
      </c>
      <c r="G30" s="202">
        <f t="shared" si="1"/>
        <v>338.53953000000001</v>
      </c>
      <c r="H30" s="314">
        <f t="shared" si="2"/>
        <v>338.53953000000001</v>
      </c>
      <c r="I30" s="324">
        <f t="shared" si="3"/>
        <v>1.8888757356203695E-3</v>
      </c>
      <c r="J30" s="179">
        <f t="shared" si="5"/>
        <v>0.99805374633908861</v>
      </c>
      <c r="K30" s="340" t="str">
        <f t="shared" si="4"/>
        <v>C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</row>
    <row r="31" spans="1:59" ht="15" x14ac:dyDescent="0.25">
      <c r="A31" s="313" t="s">
        <v>87</v>
      </c>
      <c r="B31" s="204" t="s">
        <v>20</v>
      </c>
      <c r="C31" s="203">
        <f>(52.15+52.17+12.83+12.83)*1.15</f>
        <v>149.47699999999998</v>
      </c>
      <c r="D31" s="202">
        <v>1.69</v>
      </c>
      <c r="E31" s="202">
        <f t="shared" si="0"/>
        <v>252.61612999999994</v>
      </c>
      <c r="F31" s="205">
        <v>0.2495</v>
      </c>
      <c r="G31" s="202">
        <f t="shared" si="1"/>
        <v>2.1116549999999998</v>
      </c>
      <c r="H31" s="314">
        <f t="shared" si="2"/>
        <v>315.64385443499992</v>
      </c>
      <c r="I31" s="324">
        <f t="shared" si="3"/>
        <v>1.7611296906448689E-3</v>
      </c>
      <c r="J31" s="179">
        <f t="shared" si="5"/>
        <v>0.99981487602973351</v>
      </c>
      <c r="K31" s="340" t="str">
        <f t="shared" si="4"/>
        <v>C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</row>
    <row r="32" spans="1:59" thickBot="1" x14ac:dyDescent="0.3">
      <c r="A32" s="315" t="s">
        <v>94</v>
      </c>
      <c r="B32" s="316" t="s">
        <v>95</v>
      </c>
      <c r="C32" s="317">
        <f>C31/17</f>
        <v>8.7927647058823517</v>
      </c>
      <c r="D32" s="318">
        <v>3.02</v>
      </c>
      <c r="E32" s="318">
        <f t="shared" si="0"/>
        <v>26.554149411764701</v>
      </c>
      <c r="F32" s="319">
        <v>0.2495</v>
      </c>
      <c r="G32" s="318">
        <f t="shared" si="1"/>
        <v>3.7734899999999998</v>
      </c>
      <c r="H32" s="320">
        <f t="shared" si="2"/>
        <v>33.179409689999993</v>
      </c>
      <c r="I32" s="325">
        <f t="shared" si="3"/>
        <v>1.851239702661853E-4</v>
      </c>
      <c r="J32" s="326">
        <f t="shared" si="5"/>
        <v>0.99999999999999967</v>
      </c>
      <c r="K32" s="341" t="str">
        <f t="shared" si="4"/>
        <v>C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</row>
    <row r="33" spans="1:59" s="337" customFormat="1" x14ac:dyDescent="0.25">
      <c r="A33" s="338" t="s">
        <v>194</v>
      </c>
      <c r="B33" s="338"/>
      <c r="C33" s="338"/>
      <c r="D33" s="338"/>
      <c r="E33" s="338"/>
      <c r="F33" s="338"/>
      <c r="G33" s="338"/>
      <c r="H33" s="339">
        <f>SUM(H7:H32)</f>
        <v>179228.05805370377</v>
      </c>
      <c r="I33" s="336"/>
      <c r="J33" s="336"/>
      <c r="K33" s="336"/>
      <c r="L33" s="336"/>
      <c r="M33" s="336"/>
      <c r="N33" s="336"/>
      <c r="O33" s="336"/>
      <c r="P33" s="336"/>
      <c r="Q33" s="336"/>
      <c r="R33" s="336"/>
      <c r="S33" s="336"/>
      <c r="T33" s="336"/>
      <c r="U33" s="336"/>
      <c r="V33" s="336"/>
      <c r="W33" s="336"/>
      <c r="X33" s="336"/>
      <c r="Y33" s="336"/>
      <c r="Z33" s="336"/>
      <c r="AA33" s="336"/>
      <c r="AB33" s="336"/>
      <c r="AC33" s="336"/>
      <c r="AD33" s="336"/>
      <c r="AE33" s="336"/>
      <c r="AF33" s="336"/>
      <c r="AG33" s="336"/>
      <c r="AH33" s="336"/>
      <c r="AI33" s="336"/>
      <c r="AJ33" s="336"/>
      <c r="AK33" s="336"/>
      <c r="AL33" s="336"/>
      <c r="AM33" s="336"/>
      <c r="AN33" s="336"/>
      <c r="AO33" s="336"/>
      <c r="AP33" s="336"/>
      <c r="AQ33" s="336"/>
      <c r="AR33" s="336"/>
      <c r="AS33" s="336"/>
      <c r="AT33" s="336"/>
      <c r="AU33" s="336"/>
      <c r="AV33" s="336"/>
      <c r="AW33" s="336"/>
      <c r="AX33" s="336"/>
      <c r="AY33" s="336"/>
      <c r="AZ33" s="336"/>
      <c r="BA33" s="336"/>
      <c r="BB33" s="336"/>
      <c r="BC33" s="336"/>
      <c r="BD33" s="336"/>
      <c r="BE33" s="336"/>
      <c r="BF33" s="336"/>
      <c r="BG33" s="336"/>
    </row>
  </sheetData>
  <sortState xmlns:xlrd2="http://schemas.microsoft.com/office/spreadsheetml/2017/richdata2" ref="A7:H32">
    <sortCondition descending="1" ref="H7:H32"/>
  </sortState>
  <mergeCells count="4">
    <mergeCell ref="A33:G33"/>
    <mergeCell ref="N5:Q5"/>
    <mergeCell ref="A5:K5"/>
    <mergeCell ref="A1:K4"/>
  </mergeCells>
  <phoneticPr fontId="29" type="noConversion"/>
  <conditionalFormatting sqref="K7:K32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"B"</formula>
    </cfRule>
    <cfRule type="cellIs" dxfId="1" priority="4" operator="equal">
      <formula>"B"</formula>
    </cfRule>
    <cfRule type="cellIs" dxfId="0" priority="5" operator="equal">
      <formula>"A"</formula>
    </cfRule>
  </conditionalFormatting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PLANILHA ORÇAMENTÁRIA</vt:lpstr>
      <vt:lpstr>CRONOGRAMA</vt:lpstr>
      <vt:lpstr>TAD</vt:lpstr>
      <vt:lpstr>BDI NORMAL</vt:lpstr>
      <vt:lpstr>COMPOSIÇÃO PRÓPRIA </vt:lpstr>
      <vt:lpstr>CURVA ABC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pontes</dc:creator>
  <dc:description/>
  <cp:lastModifiedBy>Administrador</cp:lastModifiedBy>
  <cp:revision>29</cp:revision>
  <cp:lastPrinted>2021-04-15T15:48:03Z</cp:lastPrinted>
  <dcterms:created xsi:type="dcterms:W3CDTF">2020-07-21T23:51:38Z</dcterms:created>
  <dcterms:modified xsi:type="dcterms:W3CDTF">2022-08-15T01:03:45Z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